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440" windowHeight="7485" firstSheet="4" activeTab="4"/>
  </bookViews>
  <sheets>
    <sheet name="data" sheetId="1" state="veryHidden" r:id="rId1"/>
    <sheet name="Table-A" sheetId="2" state="veryHidden" r:id="rId2"/>
    <sheet name="Annexure-I" sheetId="3" state="veryHidden" r:id="rId3"/>
    <sheet name="Form10E" sheetId="4" state="veryHidden" r:id="rId4"/>
    <sheet name="Macro-disabled" sheetId="5" r:id="rId5"/>
  </sheets>
  <definedNames>
    <definedName name="ay">'data'!$O$3:$O$4</definedName>
    <definedName name="ayear">'data'!$P$5:$P$18</definedName>
    <definedName name="_xlnm.Print_Area" localSheetId="3">'Form10E'!$A$1:$O$51</definedName>
    <definedName name="rstatus">'data'!$N$4:$N$6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C17" authorId="0">
      <text>
        <r>
          <rPr>
            <b/>
            <sz val="9"/>
            <rFont val="Tahoma"/>
            <family val="2"/>
          </rPr>
          <t>taxable income for the relevant financial year without taking into account the amount of arrears or advance now received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Fill the amount of taxable income (excluding arrears or advance) of the financial year in which arrears/ advance is received + total of arrears as per table given below </t>
        </r>
      </text>
    </comment>
  </commentList>
</comments>
</file>

<file path=xl/sharedStrings.xml><?xml version="1.0" encoding="utf-8"?>
<sst xmlns="http://schemas.openxmlformats.org/spreadsheetml/2006/main" count="264" uniqueCount="209">
  <si>
    <t>FORM 10E</t>
  </si>
  <si>
    <t>[See Rule 21AA]</t>
  </si>
  <si>
    <t>claiming relief under section 89(1) by a Government servant or an employee in a [company,co-operative society, local authority ,university, institution, association or body]</t>
  </si>
  <si>
    <t>1. Name and address of the Employee</t>
  </si>
  <si>
    <t>2. Permanent Account Number</t>
  </si>
  <si>
    <t>Particulars of Income referred to in rule 21A of the Income Tax Rules, 1962 during the previous year relevant to the</t>
  </si>
  <si>
    <t>2013-14</t>
  </si>
  <si>
    <t>2014-15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</si>
  <si>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</si>
  <si>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</si>
  <si>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</si>
  <si>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</si>
  <si>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</si>
  <si>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</si>
  <si>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</si>
  <si>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</si>
  <si>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</si>
  <si>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</si>
  <si>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</si>
  <si>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2. Name of the Employee</t>
  </si>
  <si>
    <t>AY</t>
  </si>
  <si>
    <t>FY</t>
  </si>
  <si>
    <t>Resident</t>
  </si>
  <si>
    <t>Not Ordinarily Resident</t>
  </si>
  <si>
    <t>Non-Resident</t>
  </si>
  <si>
    <t>Financial Year</t>
  </si>
  <si>
    <t>A1</t>
  </si>
  <si>
    <t>A2</t>
  </si>
  <si>
    <t>A3</t>
  </si>
  <si>
    <t>A4</t>
  </si>
  <si>
    <t>A5</t>
  </si>
  <si>
    <t>N6</t>
  </si>
  <si>
    <t>N7</t>
  </si>
  <si>
    <t>N8</t>
  </si>
  <si>
    <t>N9</t>
  </si>
  <si>
    <t>A10</t>
  </si>
  <si>
    <t>M/F</t>
  </si>
  <si>
    <t xml:space="preserve">    ABCAUS SALARY ARREAR  RELIEF CALCULATOR</t>
  </si>
  <si>
    <t>3. Address of the Employee</t>
  </si>
  <si>
    <t>4. PAN of the Employee</t>
  </si>
  <si>
    <t>5. Date of Birth (dd/mm/yyyy)</t>
  </si>
  <si>
    <t>6. Male                    Female</t>
  </si>
  <si>
    <t>TABLE -A</t>
  </si>
  <si>
    <t>[See Item 7 of Annexure-I]</t>
  </si>
  <si>
    <t>Previous Year(s)</t>
  </si>
  <si>
    <t>Total income of the relevent previous year</t>
  </si>
  <si>
    <t>Salary received in arrears or advance relating to the relevant previous year as mentioned in column (1)</t>
  </si>
  <si>
    <t>Total income (as increased by salary received in arrears or advance) of the relevant previous year as mentioned in column (1)[Add columns (2) and (3)]</t>
  </si>
  <si>
    <t>4 [2+3]</t>
  </si>
  <si>
    <t>Tax on total income as per column (4)</t>
  </si>
  <si>
    <t>Tax on total income as per column (2)</t>
  </si>
  <si>
    <t>Difference in tax [Amount under column (6) minus amount under column (5)]</t>
  </si>
  <si>
    <t>Age</t>
  </si>
  <si>
    <t>S date</t>
  </si>
  <si>
    <t>male/Female</t>
  </si>
  <si>
    <t>Income column 2</t>
  </si>
  <si>
    <t>Income tax column 2 Male</t>
  </si>
  <si>
    <t>Income tax column 2 Female</t>
  </si>
  <si>
    <t>Income tax column 2 Senior Citizen</t>
  </si>
  <si>
    <t>Male/female tax</t>
  </si>
  <si>
    <t>Surcharge Column 2</t>
  </si>
  <si>
    <t>Edu Cess Column 2</t>
  </si>
  <si>
    <t>Today:</t>
  </si>
  <si>
    <t>Income tax column 4 Male</t>
  </si>
  <si>
    <t>Income tax column 4 Female</t>
  </si>
  <si>
    <t>Income tax column 4 Senior Citizen</t>
  </si>
  <si>
    <t>Surcharge Column 4</t>
  </si>
  <si>
    <t>Total tax +Surcharge Column 4</t>
  </si>
  <si>
    <t>Edu Cess Column 4</t>
  </si>
  <si>
    <t>Income Column 4</t>
  </si>
  <si>
    <t>Senior citizen or normal tax Column 2</t>
  </si>
  <si>
    <t>Senior citizen or normal tax Column 4</t>
  </si>
  <si>
    <t>Final Tax +Cess Rounded OffColumn 2</t>
  </si>
  <si>
    <t>Final Rounded Off Tax +Cess     Column 4</t>
  </si>
  <si>
    <t>Total</t>
  </si>
  <si>
    <t>ANNEXURE-I</t>
  </si>
  <si>
    <t>[See item 2 of Form No, 10E]</t>
  </si>
  <si>
    <t>ARREARS OR ADVANCE SALARY</t>
  </si>
  <si>
    <t>Total Income</t>
  </si>
  <si>
    <t>Salary received in arrear or advance</t>
  </si>
  <si>
    <t>(As increased by salary received in arrears or advance)</t>
  </si>
  <si>
    <t>Tax on total income (as per item 3)</t>
  </si>
  <si>
    <t>Tax on total income (as per item 1)</t>
  </si>
  <si>
    <t>Tax on salary received in arrears or advance</t>
  </si>
  <si>
    <t>(Difference between item 4 and item 5)</t>
  </si>
  <si>
    <t>Tax Computed in accordance with Table "A"</t>
  </si>
  <si>
    <t>(Brought from column 7 of Table "A")</t>
  </si>
  <si>
    <t>Relief under section 89(1)</t>
  </si>
  <si>
    <t xml:space="preserve">(Indicate the difference between the amounts mentioned </t>
  </si>
  <si>
    <t>against item 6 and 7)</t>
  </si>
  <si>
    <t>(Excluding salary received in arrears or advance)</t>
  </si>
  <si>
    <t>Male</t>
  </si>
  <si>
    <t>Female</t>
  </si>
  <si>
    <t>Senior</t>
  </si>
  <si>
    <t>m/f</t>
  </si>
  <si>
    <t>M/f</t>
  </si>
  <si>
    <t>S Date</t>
  </si>
  <si>
    <t>Income-3</t>
  </si>
  <si>
    <t>Tax Column-3</t>
  </si>
  <si>
    <t>Senior/normal</t>
  </si>
  <si>
    <t>Rebate</t>
  </si>
  <si>
    <t>Net Tax</t>
  </si>
  <si>
    <t>Surcharge</t>
  </si>
  <si>
    <t>Cess</t>
  </si>
  <si>
    <t>Final Tax+Cess</t>
  </si>
  <si>
    <t>Total Tax+Sur</t>
  </si>
  <si>
    <t>Income-1</t>
  </si>
  <si>
    <r>
      <t xml:space="preserve">7. Residential Status </t>
    </r>
    <r>
      <rPr>
        <sz val="11"/>
        <color indexed="8"/>
        <rFont val="Calibri"/>
        <family val="2"/>
      </rPr>
      <t>(Assumed to be Resident)</t>
    </r>
  </si>
  <si>
    <t xml:space="preserve">8. Total Taxable Income including Arrear Received in FY </t>
  </si>
  <si>
    <t>Taxable Income of the relevant F.Y. without the arrears or advance (Rs.)</t>
  </si>
  <si>
    <t>Amount of Arrears/Advance  received against each Financial Year (Rs.)</t>
  </si>
  <si>
    <t>Visit: http://abcaus.in</t>
  </si>
  <si>
    <t>3. Residential Status</t>
  </si>
  <si>
    <t>Assessment Year :</t>
  </si>
  <si>
    <t>(a)</t>
  </si>
  <si>
    <t>of sub rule (2) of rule 21A</t>
  </si>
  <si>
    <t>Amount (Rs.)</t>
  </si>
  <si>
    <t>(b)</t>
  </si>
  <si>
    <t>of sub rule (3) of rule 21A</t>
  </si>
  <si>
    <t xml:space="preserve">(c) </t>
  </si>
  <si>
    <t>a period of not less than 5 years in advance in accordance with the provisions</t>
  </si>
  <si>
    <t xml:space="preserve">continuous service of not less than 3 years or where the unexpired portion of </t>
  </si>
  <si>
    <t>provisions of sub rule (4) of rule 21A</t>
  </si>
  <si>
    <t>(d)</t>
  </si>
  <si>
    <t>sub rule (5) of rule 21A</t>
  </si>
  <si>
    <t>Detailed particulars of payments referred to above may be given in</t>
  </si>
  <si>
    <t>Annexure I, II, III or IV, as the case may be.</t>
  </si>
  <si>
    <t>Salary  received  in  arrears  or  in advance in  accordance  with the provisions</t>
  </si>
  <si>
    <t>Payment  in  the  nature  of gratuity in respect of past services, exteding over</t>
  </si>
  <si>
    <t>Payment   in   the   nature  of  compensation  from   the  employer  or  former</t>
  </si>
  <si>
    <t xml:space="preserve">employer   at   or  in   connection   with   termination   of  employment   after </t>
  </si>
  <si>
    <t xml:space="preserve">term  of  employment  is  also  not  less  than 3  years  in accordance with the </t>
  </si>
  <si>
    <t>Payment  in  commutation  of  pension  in  accordance  with the provisions of</t>
  </si>
  <si>
    <t>Signature of the employee</t>
  </si>
  <si>
    <t>Verification</t>
  </si>
  <si>
    <t>I</t>
  </si>
  <si>
    <t xml:space="preserve">do hereby declare that what is stated above is </t>
  </si>
  <si>
    <t>true to the best of my knowledge and belief.</t>
  </si>
  <si>
    <t>Verified today, the</t>
  </si>
  <si>
    <t xml:space="preserve">Place: </t>
  </si>
  <si>
    <t>Dated:</t>
  </si>
  <si>
    <t>Not Applicable</t>
  </si>
  <si>
    <t>Format(date, "mmmdd")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</si>
  <si>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</si>
  <si>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</si>
  <si>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</si>
  <si>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</si>
  <si>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</si>
  <si>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</si>
  <si>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</si>
  <si>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</si>
  <si>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</si>
  <si>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</si>
  <si>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</si>
  <si>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</si>
  <si>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</si>
  <si>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</si>
  <si>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</si>
  <si>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</si>
  <si>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</si>
  <si>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</si>
  <si>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</si>
  <si>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</si>
  <si>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</si>
  <si>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</si>
  <si>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</si>
  <si>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</si>
  <si>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</si>
  <si>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</si>
  <si>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</si>
  <si>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</si>
  <si>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</si>
  <si>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</si>
  <si>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</si>
  <si>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</si>
  <si>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</si>
  <si>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</si>
  <si>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</si>
  <si>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</si>
  <si>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</si>
  <si>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</si>
  <si>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</si>
  <si>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</si>
  <si>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</si>
  <si>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</si>
  <si>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day of </t>
  </si>
  <si>
    <t>LUCKNOW</t>
  </si>
  <si>
    <t>January</t>
  </si>
  <si>
    <t>visit: http://abcaus.in</t>
  </si>
  <si>
    <t xml:space="preserve"> for</t>
  </si>
  <si>
    <t>31st March,</t>
  </si>
  <si>
    <t>2015-16</t>
  </si>
  <si>
    <t xml:space="preserve">9. Year-wise Breakup of Arrears received and taxable income </t>
  </si>
  <si>
    <t>rebate</t>
  </si>
  <si>
    <t>Qualifying rebate</t>
  </si>
  <si>
    <t>Total tax -rebate+Surcharge Column 2</t>
  </si>
  <si>
    <t>Quaifying rebate</t>
  </si>
  <si>
    <t>Rebete FY 13-14</t>
  </si>
  <si>
    <t>2016-17</t>
  </si>
  <si>
    <t>Form  for  furnishing  particulars  of  income  under  section  192(2A)  for  the year ending 31st March, 2016</t>
  </si>
  <si>
    <t>You must enable macros before using this Utility</t>
  </si>
  <si>
    <t>Learn How to enable Macros</t>
  </si>
  <si>
    <t>Click Here &gt;&gt;</t>
  </si>
  <si>
    <t>2017-18</t>
  </si>
  <si>
    <r>
      <t xml:space="preserve">1. Relief Claimed in the  </t>
    </r>
    <r>
      <rPr>
        <b/>
        <sz val="11"/>
        <color indexed="8"/>
        <rFont val="Calibri"/>
        <family val="2"/>
      </rPr>
      <t xml:space="preserve">Assessment Year </t>
    </r>
  </si>
  <si>
    <t>Rebate FY 16-17</t>
  </si>
  <si>
    <t>FILL HERE</t>
  </si>
  <si>
    <t>AAAPA1111L</t>
  </si>
  <si>
    <t>http://abcaus.in/macros.pdf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</si>
</sst>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 &quot;#,##0"/>
    <numFmt numFmtId="165" formatCode="_-* #,##0.0_-;\-* #,##0.0_-;_-* &quot;-&quot;??_-;_-@_-"/>
    <numFmt numFmtId="166" formatCode="_-* #,##0_-;\-* #,##0_-;_-* &quot;-&quot;??_-;_-@_-"/>
    <numFmt numFmtId="167" formatCode="[$-809]dd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_-;_-@_-"/>
    <numFmt numFmtId="173" formatCode="mmm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Rial"/>
      <family val="0"/>
    </font>
    <font>
      <sz val="10"/>
      <color indexed="8"/>
      <name val="Arial Unicode MS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Verdana"/>
      <family val="2"/>
    </font>
    <font>
      <sz val="9"/>
      <color indexed="8"/>
      <name val="Rial"/>
      <family val="0"/>
    </font>
    <font>
      <sz val="9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56"/>
      <name val="Arial"/>
      <family val="2"/>
    </font>
    <font>
      <sz val="11"/>
      <color indexed="56"/>
      <name val="Calibri"/>
      <family val="2"/>
    </font>
    <font>
      <b/>
      <sz val="15"/>
      <color indexed="53"/>
      <name val="Arial"/>
      <family val="2"/>
    </font>
    <font>
      <sz val="15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sz val="26"/>
      <color indexed="10"/>
      <name val="Times New Roman"/>
      <family val="1"/>
    </font>
    <font>
      <b/>
      <u val="single"/>
      <sz val="15"/>
      <color indexed="8"/>
      <name val="Calibri"/>
      <family val="2"/>
    </font>
    <font>
      <b/>
      <sz val="10"/>
      <color indexed="8"/>
      <name val="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ial"/>
      <family val="0"/>
    </font>
    <font>
      <sz val="10"/>
      <color rgb="FF000000"/>
      <name val="Arial Unicode MS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10"/>
      <color rgb="FF333333"/>
      <name val="Verdana"/>
      <family val="2"/>
    </font>
    <font>
      <sz val="9"/>
      <color theme="1"/>
      <name val="Rial"/>
      <family val="0"/>
    </font>
    <font>
      <sz val="9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theme="3"/>
      <name val="Arial"/>
      <family val="2"/>
    </font>
    <font>
      <sz val="11"/>
      <color theme="3"/>
      <name val="Calibri"/>
      <family val="2"/>
    </font>
    <font>
      <b/>
      <sz val="15"/>
      <color theme="9" tint="-0.24997000396251678"/>
      <name val="Arial"/>
      <family val="2"/>
    </font>
    <font>
      <sz val="15"/>
      <color theme="1"/>
      <name val="Calibri"/>
      <family val="2"/>
    </font>
    <font>
      <b/>
      <u val="single"/>
      <sz val="15"/>
      <color theme="10"/>
      <name val="Calibri"/>
      <family val="2"/>
    </font>
    <font>
      <b/>
      <sz val="26"/>
      <color rgb="FFFF0000"/>
      <name val="Times New Roman"/>
      <family val="1"/>
    </font>
    <font>
      <b/>
      <u val="single"/>
      <sz val="15"/>
      <color theme="1"/>
      <name val="Calibri"/>
      <family val="2"/>
    </font>
    <font>
      <b/>
      <sz val="10"/>
      <color theme="1"/>
      <name val="Rial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33" borderId="11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166" fontId="0" fillId="33" borderId="10" xfId="42" applyNumberFormat="1" applyFont="1" applyFill="1" applyBorder="1" applyAlignment="1" applyProtection="1">
      <alignment/>
      <protection locked="0"/>
    </xf>
    <xf numFmtId="166" fontId="0" fillId="33" borderId="10" xfId="42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 applyProtection="1">
      <alignment horizontal="center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12" xfId="0" applyFont="1" applyBorder="1" applyAlignment="1" applyProtection="1">
      <alignment/>
      <protection hidden="1"/>
    </xf>
    <xf numFmtId="0" fontId="57" fillId="0" borderId="13" xfId="0" applyFont="1" applyBorder="1" applyAlignment="1" applyProtection="1">
      <alignment/>
      <protection hidden="1"/>
    </xf>
    <xf numFmtId="0" fontId="57" fillId="0" borderId="14" xfId="0" applyFont="1" applyBorder="1" applyAlignment="1" applyProtection="1">
      <alignment horizontal="center"/>
      <protection hidden="1"/>
    </xf>
    <xf numFmtId="0" fontId="57" fillId="0" borderId="14" xfId="0" applyFont="1" applyBorder="1" applyAlignment="1" applyProtection="1">
      <alignment/>
      <protection hidden="1"/>
    </xf>
    <xf numFmtId="0" fontId="57" fillId="0" borderId="15" xfId="0" applyFont="1" applyBorder="1" applyAlignment="1" applyProtection="1">
      <alignment/>
      <protection hidden="1"/>
    </xf>
    <xf numFmtId="0" fontId="57" fillId="0" borderId="11" xfId="0" applyFont="1" applyBorder="1" applyAlignment="1" applyProtection="1">
      <alignment horizontal="center"/>
      <protection hidden="1"/>
    </xf>
    <xf numFmtId="0" fontId="57" fillId="0" borderId="11" xfId="0" applyFont="1" applyBorder="1" applyAlignment="1" applyProtection="1">
      <alignment/>
      <protection hidden="1"/>
    </xf>
    <xf numFmtId="0" fontId="57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14" fontId="0" fillId="2" borderId="10" xfId="0" applyNumberFormat="1" applyFill="1" applyBorder="1" applyAlignment="1" applyProtection="1">
      <alignment/>
      <protection hidden="1"/>
    </xf>
    <xf numFmtId="0" fontId="58" fillId="2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/>
      <protection hidden="1"/>
    </xf>
    <xf numFmtId="166" fontId="0" fillId="7" borderId="10" xfId="42" applyNumberFormat="1" applyFont="1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10" xfId="42" applyNumberFormat="1" applyFont="1" applyBorder="1" applyAlignment="1" applyProtection="1">
      <alignment/>
      <protection hidden="1"/>
    </xf>
    <xf numFmtId="166" fontId="0" fillId="7" borderId="10" xfId="42" applyNumberFormat="1" applyFont="1" applyFill="1" applyBorder="1" applyAlignment="1" applyProtection="1" quotePrefix="1">
      <alignment/>
      <protection hidden="1"/>
    </xf>
    <xf numFmtId="43" fontId="0" fillId="7" borderId="10" xfId="42" applyFont="1" applyFill="1" applyBorder="1" applyAlignment="1" applyProtection="1">
      <alignment/>
      <protection hidden="1"/>
    </xf>
    <xf numFmtId="166" fontId="0" fillId="4" borderId="10" xfId="42" applyNumberFormat="1" applyFont="1" applyFill="1" applyBorder="1" applyAlignment="1" applyProtection="1" quotePrefix="1">
      <alignment/>
      <protection hidden="1"/>
    </xf>
    <xf numFmtId="43" fontId="0" fillId="4" borderId="10" xfId="42" applyFont="1" applyFill="1" applyBorder="1" applyAlignment="1" applyProtection="1">
      <alignment/>
      <protection hidden="1"/>
    </xf>
    <xf numFmtId="43" fontId="0" fillId="4" borderId="10" xfId="0" applyNumberFormat="1" applyFill="1" applyBorder="1" applyAlignment="1" applyProtection="1">
      <alignment/>
      <protection hidden="1"/>
    </xf>
    <xf numFmtId="0" fontId="55" fillId="33" borderId="10" xfId="0" applyFont="1" applyFill="1" applyBorder="1" applyAlignment="1" applyProtection="1">
      <alignment horizontal="center"/>
      <protection hidden="1"/>
    </xf>
    <xf numFmtId="166" fontId="55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59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locked="0"/>
    </xf>
    <xf numFmtId="14" fontId="0" fillId="33" borderId="0" xfId="0" applyNumberFormat="1" applyFill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166" fontId="0" fillId="0" borderId="0" xfId="42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/>
      <protection hidden="1"/>
    </xf>
    <xf numFmtId="0" fontId="57" fillId="4" borderId="10" xfId="0" applyFont="1" applyFill="1" applyBorder="1" applyAlignment="1" applyProtection="1">
      <alignment horizontal="center"/>
      <protection hidden="1"/>
    </xf>
    <xf numFmtId="0" fontId="57" fillId="5" borderId="10" xfId="0" applyFont="1" applyFill="1" applyBorder="1" applyAlignment="1" applyProtection="1">
      <alignment horizontal="center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14" fontId="0" fillId="33" borderId="10" xfId="0" applyNumberFormat="1" applyFill="1" applyBorder="1" applyAlignment="1" applyProtection="1">
      <alignment/>
      <protection hidden="1"/>
    </xf>
    <xf numFmtId="166" fontId="0" fillId="4" borderId="10" xfId="42" applyNumberFormat="1" applyFont="1" applyFill="1" applyBorder="1" applyAlignment="1" applyProtection="1">
      <alignment horizontal="center"/>
      <protection hidden="1"/>
    </xf>
    <xf numFmtId="166" fontId="57" fillId="4" borderId="10" xfId="42" applyNumberFormat="1" applyFont="1" applyFill="1" applyBorder="1" applyAlignment="1" applyProtection="1">
      <alignment/>
      <protection hidden="1"/>
    </xf>
    <xf numFmtId="0" fontId="57" fillId="5" borderId="10" xfId="0" applyFont="1" applyFill="1" applyBorder="1" applyAlignment="1" applyProtection="1">
      <alignment/>
      <protection hidden="1"/>
    </xf>
    <xf numFmtId="166" fontId="57" fillId="5" borderId="10" xfId="42" applyNumberFormat="1" applyFont="1" applyFill="1" applyBorder="1" applyAlignment="1" applyProtection="1">
      <alignment/>
      <protection hidden="1"/>
    </xf>
    <xf numFmtId="166" fontId="57" fillId="5" borderId="10" xfId="0" applyNumberFormat="1" applyFont="1" applyFill="1" applyBorder="1" applyAlignment="1" applyProtection="1">
      <alignment/>
      <protection hidden="1"/>
    </xf>
    <xf numFmtId="43" fontId="57" fillId="5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39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0" fillId="0" borderId="0" xfId="42" applyNumberFormat="1" applyFont="1" applyFill="1" applyBorder="1" applyAlignment="1" applyProtection="1" quotePrefix="1">
      <alignment/>
      <protection hidden="1"/>
    </xf>
    <xf numFmtId="166" fontId="0" fillId="0" borderId="0" xfId="42" applyNumberFormat="1" applyFont="1" applyFill="1" applyBorder="1" applyAlignment="1" applyProtection="1">
      <alignment/>
      <protection hidden="1"/>
    </xf>
    <xf numFmtId="43" fontId="0" fillId="0" borderId="0" xfId="42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6" fontId="57" fillId="0" borderId="15" xfId="0" applyNumberFormat="1" applyFont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3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166" fontId="0" fillId="34" borderId="10" xfId="0" applyNumberFormat="1" applyFill="1" applyBorder="1" applyAlignment="1" applyProtection="1">
      <alignment/>
      <protection hidden="1"/>
    </xf>
    <xf numFmtId="0" fontId="64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68" fillId="35" borderId="0" xfId="0" applyFont="1" applyFill="1" applyAlignment="1">
      <alignment/>
    </xf>
    <xf numFmtId="0" fontId="69" fillId="35" borderId="0" xfId="53" applyFont="1" applyFill="1" applyAlignment="1" applyProtection="1">
      <alignment/>
      <protection/>
    </xf>
    <xf numFmtId="0" fontId="70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49" fillId="35" borderId="0" xfId="53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right" shrinkToFit="1"/>
      <protection locked="0"/>
    </xf>
    <xf numFmtId="0" fontId="0" fillId="33" borderId="17" xfId="0" applyFill="1" applyBorder="1" applyAlignment="1" applyProtection="1">
      <alignment horizontal="right" shrinkToFit="1"/>
      <protection locked="0"/>
    </xf>
    <xf numFmtId="0" fontId="0" fillId="33" borderId="18" xfId="0" applyFill="1" applyBorder="1" applyAlignment="1" applyProtection="1">
      <alignment horizontal="right" shrinkToFit="1"/>
      <protection locked="0"/>
    </xf>
    <xf numFmtId="0" fontId="5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2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Relationship Id="rId4" Type="http://schemas.openxmlformats.org/officeDocument/2006/relationships/hyperlink" Target="http://abcaus.in/macros.pdf" TargetMode="External" /><Relationship Id="rId5" Type="http://schemas.openxmlformats.org/officeDocument/2006/relationships/hyperlink" Target="http://abcaus.in/macros.pdf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s://www.facebook.com/abCAus" TargetMode="External" /><Relationship Id="rId8" Type="http://schemas.openxmlformats.org/officeDocument/2006/relationships/hyperlink" Target="https://www.facebook.com/abCAus" TargetMode="External" /><Relationship Id="rId9" Type="http://schemas.openxmlformats.org/officeDocument/2006/relationships/image" Target="../media/image3.jpeg" /><Relationship Id="rId10" Type="http://schemas.openxmlformats.org/officeDocument/2006/relationships/hyperlink" Target="https://youtu.be/gNizknzAF_E" TargetMode="External" /><Relationship Id="rId11" Type="http://schemas.openxmlformats.org/officeDocument/2006/relationships/hyperlink" Target="https://youtu.be/gNizknzAF_E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123825</xdr:colOff>
      <xdr:row>4</xdr:row>
      <xdr:rowOff>95250</xdr:rowOff>
    </xdr:to>
    <xdr:pic>
      <xdr:nvPicPr>
        <xdr:cNvPr id="1" name="Picture 1" descr="new logo2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800100</xdr:colOff>
      <xdr:row>0</xdr:row>
      <xdr:rowOff>66675</xdr:rowOff>
    </xdr:from>
    <xdr:to>
      <xdr:col>5</xdr:col>
      <xdr:colOff>904875</xdr:colOff>
      <xdr:row>3</xdr:row>
      <xdr:rowOff>57150</xdr:rowOff>
    </xdr:to>
    <xdr:sp>
      <xdr:nvSpPr>
        <xdr:cNvPr id="2" name="Rectangle 3">
          <a:hlinkClick r:id="rId4"/>
        </xdr:cNvPr>
        <xdr:cNvSpPr>
          <a:spLocks/>
        </xdr:cNvSpPr>
      </xdr:nvSpPr>
      <xdr:spPr>
        <a:xfrm>
          <a:off x="5772150" y="66675"/>
          <a:ext cx="1409700" cy="676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Macros must have been enabled to use this utility.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Macro Help</a:t>
          </a:r>
        </a:p>
      </xdr:txBody>
    </xdr:sp>
    <xdr:clientData/>
  </xdr:twoCellAnchor>
  <xdr:twoCellAnchor>
    <xdr:from>
      <xdr:col>5</xdr:col>
      <xdr:colOff>571500</xdr:colOff>
      <xdr:row>2</xdr:row>
      <xdr:rowOff>104775</xdr:rowOff>
    </xdr:from>
    <xdr:to>
      <xdr:col>5</xdr:col>
      <xdr:colOff>771525</xdr:colOff>
      <xdr:row>2</xdr:row>
      <xdr:rowOff>247650</xdr:rowOff>
    </xdr:to>
    <xdr:grpSp>
      <xdr:nvGrpSpPr>
        <xdr:cNvPr id="3" name="Group 6">
          <a:hlinkClick r:id="rId5"/>
        </xdr:cNvPr>
        <xdr:cNvGrpSpPr>
          <a:grpSpLocks/>
        </xdr:cNvGrpSpPr>
      </xdr:nvGrpSpPr>
      <xdr:grpSpPr>
        <a:xfrm>
          <a:off x="6848475" y="542925"/>
          <a:ext cx="200025" cy="142875"/>
          <a:chOff x="5724724" y="554005"/>
          <a:chExt cx="197219" cy="145792"/>
        </a:xfrm>
        <a:solidFill>
          <a:srgbClr val="FFFFFF"/>
        </a:solidFill>
      </xdr:grpSpPr>
      <xdr:sp>
        <xdr:nvSpPr>
          <xdr:cNvPr id="4" name="Chevron 3"/>
          <xdr:cNvSpPr>
            <a:spLocks/>
          </xdr:cNvSpPr>
        </xdr:nvSpPr>
        <xdr:spPr>
          <a:xfrm>
            <a:off x="5727534" y="556520"/>
            <a:ext cx="120353" cy="141929"/>
          </a:xfrm>
          <a:prstGeom prst="chevron">
            <a:avLst>
              <a:gd name="adj" fmla="val 0"/>
            </a:avLst>
          </a:prstGeom>
          <a:noFill/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hevron 6"/>
          <xdr:cNvSpPr>
            <a:spLocks/>
          </xdr:cNvSpPr>
        </xdr:nvSpPr>
        <xdr:spPr>
          <a:xfrm>
            <a:off x="5801590" y="556520"/>
            <a:ext cx="120353" cy="141929"/>
          </a:xfrm>
          <a:prstGeom prst="chevron">
            <a:avLst>
              <a:gd name="adj" fmla="val 0"/>
            </a:avLst>
          </a:prstGeom>
          <a:noFill/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685800</xdr:colOff>
      <xdr:row>4</xdr:row>
      <xdr:rowOff>28575</xdr:rowOff>
    </xdr:from>
    <xdr:to>
      <xdr:col>4</xdr:col>
      <xdr:colOff>533400</xdr:colOff>
      <xdr:row>5</xdr:row>
      <xdr:rowOff>123825</xdr:rowOff>
    </xdr:to>
    <xdr:pic>
      <xdr:nvPicPr>
        <xdr:cNvPr id="6" name="Picture 7" descr="facebook-like-us.jpg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904875"/>
          <a:ext cx="1228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</xdr:row>
      <xdr:rowOff>114300</xdr:rowOff>
    </xdr:from>
    <xdr:to>
      <xdr:col>4</xdr:col>
      <xdr:colOff>552450</xdr:colOff>
      <xdr:row>3</xdr:row>
      <xdr:rowOff>161925</xdr:rowOff>
    </xdr:to>
    <xdr:pic>
      <xdr:nvPicPr>
        <xdr:cNvPr id="7" name="Picture 8" descr="watc-you-tube.jpg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55245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685800</xdr:colOff>
      <xdr:row>3</xdr:row>
      <xdr:rowOff>114300</xdr:rowOff>
    </xdr:to>
    <xdr:pic>
      <xdr:nvPicPr>
        <xdr:cNvPr id="1" name="Picture 1" descr="new logo2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57150</xdr:rowOff>
    </xdr:from>
    <xdr:to>
      <xdr:col>2</xdr:col>
      <xdr:colOff>209550</xdr:colOff>
      <xdr:row>4</xdr:row>
      <xdr:rowOff>142875</xdr:rowOff>
    </xdr:to>
    <xdr:pic>
      <xdr:nvPicPr>
        <xdr:cNvPr id="1" name="Picture 1" descr="new logo2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209550</xdr:colOff>
      <xdr:row>2</xdr:row>
      <xdr:rowOff>133350</xdr:rowOff>
    </xdr:to>
    <xdr:pic>
      <xdr:nvPicPr>
        <xdr:cNvPr id="1" name="Picture 1" descr="new logo2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66675</xdr:rowOff>
    </xdr:from>
    <xdr:to>
      <xdr:col>7</xdr:col>
      <xdr:colOff>304800</xdr:colOff>
      <xdr:row>8</xdr:row>
      <xdr:rowOff>28575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6675"/>
          <a:ext cx="1733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hyperlink" Target="http://abcaus.in/macros.pdf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3"/>
  <sheetViews>
    <sheetView zoomScalePageLayoutView="0" workbookViewId="0" topLeftCell="A1">
      <selection activeCell="F12" sqref="F12"/>
    </sheetView>
  </sheetViews>
  <sheetFormatPr defaultColWidth="0" defaultRowHeight="15" zeroHeight="1"/>
  <cols>
    <col min="1" max="1" width="13.00390625" style="0" customWidth="1"/>
    <col min="2" max="2" width="17.57421875" style="0" customWidth="1"/>
    <col min="3" max="3" width="23.28125" style="0" customWidth="1"/>
    <col min="4" max="4" width="20.7109375" style="0" customWidth="1"/>
    <col min="5" max="5" width="19.57421875" style="0" customWidth="1"/>
    <col min="6" max="6" width="14.28125" style="0" customWidth="1"/>
    <col min="7" max="11" width="9.140625" style="0" hidden="1" customWidth="1"/>
    <col min="12" max="12" width="11.7109375" style="0" hidden="1" customWidth="1"/>
    <col min="13" max="34" width="9.140625" style="0" hidden="1" customWidth="1"/>
    <col min="35" max="16384" width="0" style="0" hidden="1" customWidth="1"/>
  </cols>
  <sheetData>
    <row r="1" spans="1:31" ht="15">
      <c r="A1" s="90"/>
      <c r="B1" s="90"/>
      <c r="C1" s="90"/>
      <c r="D1" s="90"/>
      <c r="E1" s="90"/>
      <c r="F1" s="90"/>
      <c r="G1" s="99">
        <v>1</v>
      </c>
      <c r="P1" s="1" t="s">
        <v>20</v>
      </c>
      <c r="Q1" t="s">
        <v>21</v>
      </c>
      <c r="R1" s="2">
        <v>1</v>
      </c>
      <c r="S1" s="2">
        <v>2</v>
      </c>
      <c r="T1" s="2">
        <v>3</v>
      </c>
      <c r="U1" s="2">
        <v>4</v>
      </c>
      <c r="V1" s="2">
        <v>5</v>
      </c>
      <c r="W1" s="2">
        <v>6</v>
      </c>
      <c r="X1" s="2">
        <v>7</v>
      </c>
      <c r="Y1" s="2">
        <v>8</v>
      </c>
      <c r="Z1" s="2">
        <v>9</v>
      </c>
      <c r="AA1" s="2">
        <v>10</v>
      </c>
      <c r="AB1" s="2">
        <v>11</v>
      </c>
      <c r="AC1" s="2">
        <v>12</v>
      </c>
      <c r="AD1" s="2">
        <v>13</v>
      </c>
      <c r="AE1" s="2">
        <v>14</v>
      </c>
    </row>
    <row r="2" spans="1:14" ht="19.5">
      <c r="A2" s="90"/>
      <c r="B2" s="91" t="s">
        <v>37</v>
      </c>
      <c r="C2" s="92"/>
      <c r="D2" s="90"/>
      <c r="E2" s="90"/>
      <c r="F2" s="90"/>
      <c r="N2" s="3" t="s">
        <v>36</v>
      </c>
    </row>
    <row r="3" spans="1:31" ht="19.5">
      <c r="A3" s="90"/>
      <c r="B3" s="93"/>
      <c r="C3" s="90"/>
      <c r="D3" s="90"/>
      <c r="E3" s="90"/>
      <c r="F3" s="90"/>
      <c r="K3" t="s">
        <v>62</v>
      </c>
      <c r="L3" s="9">
        <f ca="1">TODAY()</f>
        <v>42869</v>
      </c>
      <c r="N3" s="69">
        <v>1</v>
      </c>
      <c r="O3" t="s">
        <v>7</v>
      </c>
      <c r="P3" t="s">
        <v>203</v>
      </c>
      <c r="Q3" t="s">
        <v>198</v>
      </c>
      <c r="R3" t="s">
        <v>191</v>
      </c>
      <c r="S3" t="s">
        <v>7</v>
      </c>
      <c r="T3" t="s">
        <v>6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13</v>
      </c>
      <c r="AA3" t="s">
        <v>14</v>
      </c>
      <c r="AB3" t="s">
        <v>15</v>
      </c>
      <c r="AC3" t="s">
        <v>16</v>
      </c>
      <c r="AD3" t="s">
        <v>17</v>
      </c>
      <c r="AE3" t="s">
        <v>18</v>
      </c>
    </row>
    <row r="4" spans="1:15" ht="15">
      <c r="A4" s="90"/>
      <c r="B4" s="90"/>
      <c r="C4" s="90"/>
      <c r="D4" s="90"/>
      <c r="E4" s="90"/>
      <c r="F4" s="90"/>
      <c r="K4" t="s">
        <v>52</v>
      </c>
      <c r="L4">
        <f>DATEDIF(data!$E$12,L3,"y")</f>
        <v>42</v>
      </c>
      <c r="N4" t="s">
        <v>22</v>
      </c>
      <c r="O4" t="s">
        <v>191</v>
      </c>
    </row>
    <row r="5" spans="1:14" ht="15">
      <c r="A5" s="90"/>
      <c r="B5" s="90"/>
      <c r="C5" s="90"/>
      <c r="D5" s="90"/>
      <c r="E5" s="90"/>
      <c r="F5" s="90"/>
      <c r="N5" t="s">
        <v>23</v>
      </c>
    </row>
    <row r="6" spans="1:14" ht="15">
      <c r="A6" s="90"/>
      <c r="B6" s="90"/>
      <c r="C6" s="90"/>
      <c r="D6" s="90"/>
      <c r="E6" s="90"/>
      <c r="F6" s="90"/>
      <c r="N6" t="s">
        <v>24</v>
      </c>
    </row>
    <row r="7" spans="1:6" ht="15">
      <c r="A7" s="81"/>
      <c r="B7" s="81"/>
      <c r="C7" s="81"/>
      <c r="D7" s="81"/>
      <c r="E7" s="81"/>
      <c r="F7" s="81"/>
    </row>
    <row r="8" spans="1:25" ht="19.5">
      <c r="A8" s="81"/>
      <c r="B8" s="81" t="s">
        <v>204</v>
      </c>
      <c r="C8" s="81"/>
      <c r="D8" s="81"/>
      <c r="E8" s="88" t="s">
        <v>203</v>
      </c>
      <c r="F8" s="82"/>
      <c r="P8" s="2" t="s">
        <v>26</v>
      </c>
      <c r="Q8" s="2" t="s">
        <v>27</v>
      </c>
      <c r="R8" s="2" t="s">
        <v>28</v>
      </c>
      <c r="S8" s="2" t="s">
        <v>29</v>
      </c>
      <c r="T8" s="2" t="s">
        <v>30</v>
      </c>
      <c r="U8" s="2" t="s">
        <v>31</v>
      </c>
      <c r="V8" s="2" t="s">
        <v>32</v>
      </c>
      <c r="W8" s="2" t="s">
        <v>33</v>
      </c>
      <c r="X8" s="2" t="s">
        <v>34</v>
      </c>
      <c r="Y8" s="2" t="s">
        <v>35</v>
      </c>
    </row>
    <row r="9" spans="1:25" ht="15">
      <c r="A9" s="81"/>
      <c r="B9" s="81" t="s">
        <v>19</v>
      </c>
      <c r="C9" s="81"/>
      <c r="D9" s="100" t="s">
        <v>206</v>
      </c>
      <c r="E9" s="100"/>
      <c r="F9" s="81"/>
      <c r="P9" s="2">
        <f>CODE((MID($E$11,1,1)))</f>
        <v>65</v>
      </c>
      <c r="Q9" s="2">
        <f>CODE((MID($E$11,2,1)))</f>
        <v>65</v>
      </c>
      <c r="R9" s="2">
        <f>CODE((MID($E$11,3,1)))</f>
        <v>65</v>
      </c>
      <c r="S9" s="2">
        <f>CODE((MID($E$11,4,1)))</f>
        <v>80</v>
      </c>
      <c r="T9" s="2">
        <f>CODE((MID($E$11,5,1)))</f>
        <v>65</v>
      </c>
      <c r="U9" s="2">
        <f>CODE((MID($E$11,6,1)))</f>
        <v>49</v>
      </c>
      <c r="V9" s="2">
        <f>CODE((MID($E$11,7,1)))</f>
        <v>49</v>
      </c>
      <c r="W9" s="2">
        <f>CODE((MID($E$11,8,1)))</f>
        <v>49</v>
      </c>
      <c r="X9" s="2">
        <f>CODE((MID($E$11,9,1)))</f>
        <v>49</v>
      </c>
      <c r="Y9" s="2">
        <f>CODE((MID($E$11,10,1)))</f>
        <v>76</v>
      </c>
    </row>
    <row r="10" spans="1:25" ht="15">
      <c r="A10" s="81"/>
      <c r="B10" s="81" t="s">
        <v>38</v>
      </c>
      <c r="C10" s="81"/>
      <c r="D10" s="101" t="s">
        <v>206</v>
      </c>
      <c r="E10" s="102"/>
      <c r="F10" s="81"/>
      <c r="P10" s="2" t="str">
        <f>IF(AND(P9&gt;=65,P9&lt;=90),"T","F")</f>
        <v>T</v>
      </c>
      <c r="Q10" s="2" t="str">
        <f>IF(AND(Q9&gt;=65,Q9&lt;=90),"T","F")</f>
        <v>T</v>
      </c>
      <c r="R10" s="2" t="str">
        <f>IF(AND(R9&gt;=65,R9&lt;=90),"T","F")</f>
        <v>T</v>
      </c>
      <c r="S10" s="2" t="str">
        <f>IF(AND(S9&gt;=65,S9&lt;=90),"T","F")</f>
        <v>T</v>
      </c>
      <c r="T10" s="2" t="str">
        <f>IF(AND(T9&gt;=65,T9&lt;=90),"T","F")</f>
        <v>T</v>
      </c>
      <c r="U10" s="2" t="str">
        <f>IF(AND(U9&gt;=48,U9&lt;=57),"T","F")</f>
        <v>T</v>
      </c>
      <c r="V10" s="2" t="str">
        <f>IF(AND(V9&gt;=48,V9&lt;=57),"T","F")</f>
        <v>T</v>
      </c>
      <c r="W10" s="2" t="str">
        <f>IF(AND(W9&gt;=48,W9&lt;=57),"T","F")</f>
        <v>T</v>
      </c>
      <c r="X10" s="2" t="str">
        <f>IF(AND(X9&gt;=48,X9&lt;=57),"T","F")</f>
        <v>T</v>
      </c>
      <c r="Y10" s="2" t="str">
        <f>IF(AND(Y9&gt;=65,Y9&lt;=90),"T","F")</f>
        <v>T</v>
      </c>
    </row>
    <row r="11" spans="1:25" ht="15" customHeight="1">
      <c r="A11" s="81"/>
      <c r="B11" s="81" t="s">
        <v>39</v>
      </c>
      <c r="C11" s="81"/>
      <c r="D11" s="81"/>
      <c r="E11" s="5" t="s">
        <v>207</v>
      </c>
      <c r="F11" s="81"/>
      <c r="P11" t="str">
        <f>CONCATENATE(P10,Q10,R10,S10,T10,U10,V10,W10,X10,Y10)</f>
        <v>TTTTTTTTTT</v>
      </c>
      <c r="Q11" s="2"/>
      <c r="R11" s="2"/>
      <c r="S11" s="2"/>
      <c r="T11" s="2"/>
      <c r="U11" s="2"/>
      <c r="V11" s="2"/>
      <c r="W11" s="2"/>
      <c r="X11" s="2"/>
      <c r="Y11" s="2"/>
    </row>
    <row r="12" spans="1:6" ht="15">
      <c r="A12" s="81"/>
      <c r="B12" s="81" t="s">
        <v>40</v>
      </c>
      <c r="C12" s="81"/>
      <c r="D12" s="81"/>
      <c r="E12" s="6">
        <v>27485</v>
      </c>
      <c r="F12" s="81"/>
    </row>
    <row r="13" spans="1:17" ht="15">
      <c r="A13" s="81"/>
      <c r="B13" s="81" t="s">
        <v>41</v>
      </c>
      <c r="C13" s="81"/>
      <c r="D13" s="81"/>
      <c r="E13" s="81"/>
      <c r="F13" s="81"/>
      <c r="P13" t="s">
        <v>108</v>
      </c>
      <c r="Q13" s="12" t="str">
        <f>VLOOKUP($E$8,$P$2:$AE$3,2,FALSE)</f>
        <v>2016-17</v>
      </c>
    </row>
    <row r="14" spans="1:16" ht="15">
      <c r="A14" s="81"/>
      <c r="B14" s="81" t="s">
        <v>107</v>
      </c>
      <c r="C14" s="81"/>
      <c r="D14" s="81"/>
      <c r="E14" s="11" t="s">
        <v>22</v>
      </c>
      <c r="F14" s="81"/>
      <c r="P14" s="4"/>
    </row>
    <row r="15" spans="1:6" ht="15">
      <c r="A15" s="81"/>
      <c r="B15" s="81" t="str">
        <f>CONCATENATE(P13,Q13)</f>
        <v>8. Total Taxable Income including Arrear Received in FY 2016-17</v>
      </c>
      <c r="C15" s="81"/>
      <c r="D15" s="89"/>
      <c r="E15" s="8">
        <v>585215</v>
      </c>
      <c r="F15" s="81"/>
    </row>
    <row r="16" spans="1:6" ht="15">
      <c r="A16" s="81"/>
      <c r="B16" s="81" t="s">
        <v>192</v>
      </c>
      <c r="C16" s="81"/>
      <c r="D16" s="83"/>
      <c r="E16" s="81"/>
      <c r="F16" s="81"/>
    </row>
    <row r="17" spans="1:6" ht="75">
      <c r="A17" s="81"/>
      <c r="B17" s="85" t="s">
        <v>25</v>
      </c>
      <c r="C17" s="86" t="s">
        <v>109</v>
      </c>
      <c r="D17" s="86" t="s">
        <v>110</v>
      </c>
      <c r="E17" s="81"/>
      <c r="F17" s="81"/>
    </row>
    <row r="18" spans="1:6" ht="15">
      <c r="A18" s="81"/>
      <c r="B18" s="85" t="str">
        <f>VLOOKUP($E$8,$P$2:$AE$3,3,FALSE)</f>
        <v>2015-16</v>
      </c>
      <c r="C18" s="7">
        <v>450000</v>
      </c>
      <c r="D18" s="7">
        <v>55000</v>
      </c>
      <c r="E18" s="81"/>
      <c r="F18" s="81"/>
    </row>
    <row r="19" spans="1:6" ht="15">
      <c r="A19" s="81"/>
      <c r="B19" s="85" t="str">
        <f>VLOOKUP($E$8,$P$2:$AE$3,4,FALSE)</f>
        <v>2014-15</v>
      </c>
      <c r="C19" s="7">
        <v>300000</v>
      </c>
      <c r="D19" s="7">
        <v>2200</v>
      </c>
      <c r="E19" s="81"/>
      <c r="F19" s="81"/>
    </row>
    <row r="20" spans="1:6" ht="15">
      <c r="A20" s="81"/>
      <c r="B20" s="85" t="str">
        <f>VLOOKUP($E$8,$P$2:$AE$3,5,FALSE)</f>
        <v>2013-14</v>
      </c>
      <c r="C20" s="7">
        <v>240000</v>
      </c>
      <c r="D20" s="7">
        <v>1200</v>
      </c>
      <c r="E20" s="81"/>
      <c r="F20" s="81"/>
    </row>
    <row r="21" spans="1:6" ht="15">
      <c r="A21" s="81"/>
      <c r="B21" s="85" t="str">
        <f>VLOOKUP($E$8,$P$2:$AE$3,6,FALSE)</f>
        <v>2012-13</v>
      </c>
      <c r="C21" s="7">
        <v>230000</v>
      </c>
      <c r="D21" s="7">
        <v>3800</v>
      </c>
      <c r="E21" s="81"/>
      <c r="F21" s="81"/>
    </row>
    <row r="22" spans="1:6" ht="15">
      <c r="A22" s="81"/>
      <c r="B22" s="85" t="str">
        <f>VLOOKUP($E$8,$P$2:$AE$3,7,FALSE)</f>
        <v>2011-12</v>
      </c>
      <c r="C22" s="7">
        <v>200000</v>
      </c>
      <c r="D22" s="7">
        <v>1500</v>
      </c>
      <c r="E22" s="81"/>
      <c r="F22" s="81"/>
    </row>
    <row r="23" spans="1:6" ht="15">
      <c r="A23" s="81"/>
      <c r="B23" s="85" t="str">
        <f>VLOOKUP($E$8,$P$2:$AE$3,8,FALSE)</f>
        <v>2010-11</v>
      </c>
      <c r="C23" s="7">
        <v>105000</v>
      </c>
      <c r="D23" s="7">
        <v>4000</v>
      </c>
      <c r="E23" s="81"/>
      <c r="F23" s="81"/>
    </row>
    <row r="24" spans="1:6" ht="15">
      <c r="A24" s="81"/>
      <c r="B24" s="85" t="str">
        <f>VLOOKUP($E$8,$P$2:$AE$3,9,FALSE)</f>
        <v>2009-10</v>
      </c>
      <c r="C24" s="7">
        <v>85000</v>
      </c>
      <c r="D24" s="7">
        <v>5000</v>
      </c>
      <c r="E24" s="81"/>
      <c r="F24" s="81"/>
    </row>
    <row r="25" spans="1:6" ht="15">
      <c r="A25" s="81"/>
      <c r="B25" s="85" t="str">
        <f>VLOOKUP($E$8,$P$2:$AE$3,10,FALSE)</f>
        <v>2008-09</v>
      </c>
      <c r="C25" s="7">
        <v>80000</v>
      </c>
      <c r="D25" s="7">
        <v>2415</v>
      </c>
      <c r="E25" s="81"/>
      <c r="F25" s="81"/>
    </row>
    <row r="26" spans="1:6" ht="15">
      <c r="A26" s="81"/>
      <c r="B26" s="85" t="str">
        <f>VLOOKUP($E$8,$P$2:$AE$3,11,FALSE)</f>
        <v>2007-08</v>
      </c>
      <c r="C26" s="7">
        <v>75000</v>
      </c>
      <c r="D26" s="7">
        <v>2000</v>
      </c>
      <c r="E26" s="81"/>
      <c r="F26" s="81"/>
    </row>
    <row r="27" spans="1:6" ht="15">
      <c r="A27" s="81"/>
      <c r="B27" s="85" t="str">
        <f>VLOOKUP($E$8,$P$2:$AE$3,12,FALSE)</f>
        <v>2006-07</v>
      </c>
      <c r="C27" s="7">
        <v>60000</v>
      </c>
      <c r="D27" s="7">
        <v>1200</v>
      </c>
      <c r="E27" s="81"/>
      <c r="F27" s="81"/>
    </row>
    <row r="28" spans="1:6" ht="15">
      <c r="A28" s="81"/>
      <c r="B28" s="85" t="str">
        <f>VLOOKUP($E$8,$P$2:$AE$3,13,FALSE)</f>
        <v>2005-06</v>
      </c>
      <c r="C28" s="7">
        <v>42000</v>
      </c>
      <c r="D28" s="7">
        <v>1100</v>
      </c>
      <c r="E28" s="81"/>
      <c r="F28" s="81"/>
    </row>
    <row r="29" spans="1:6" ht="15">
      <c r="A29" s="81"/>
      <c r="B29" s="85" t="str">
        <f>VLOOKUP($E$8,$P$2:$AE$3,14,FALSE)</f>
        <v>2004-05</v>
      </c>
      <c r="C29" s="7">
        <v>35000</v>
      </c>
      <c r="D29" s="7">
        <v>1000</v>
      </c>
      <c r="E29" s="81"/>
      <c r="F29" s="81"/>
    </row>
    <row r="30" spans="1:6" ht="15">
      <c r="A30" s="81"/>
      <c r="B30" s="85" t="str">
        <f>VLOOKUP($E$8,$P$2:$AE$3,15,FALSE)</f>
        <v>2003-04</v>
      </c>
      <c r="C30" s="7">
        <v>32000</v>
      </c>
      <c r="D30" s="7">
        <v>2800</v>
      </c>
      <c r="E30" s="81"/>
      <c r="F30" s="81"/>
    </row>
    <row r="31" spans="1:6" ht="15">
      <c r="A31" s="81"/>
      <c r="B31" s="85" t="str">
        <f>VLOOKUP($E$8,$P$2:$AE$3,16,FALSE)</f>
        <v>2002-03</v>
      </c>
      <c r="C31" s="7">
        <v>30000</v>
      </c>
      <c r="D31" s="7">
        <v>2000</v>
      </c>
      <c r="E31" s="81"/>
      <c r="F31" s="81"/>
    </row>
    <row r="32" spans="1:6" ht="15">
      <c r="A32" s="84"/>
      <c r="B32" s="85" t="s">
        <v>74</v>
      </c>
      <c r="C32" s="87">
        <f>SUM(C18:C31)</f>
        <v>1964000</v>
      </c>
      <c r="D32" s="87">
        <f>SUM(D18:D31)</f>
        <v>85215</v>
      </c>
      <c r="E32" s="84"/>
      <c r="F32" s="84"/>
    </row>
    <row r="33" spans="1:6" ht="15">
      <c r="A33" s="84"/>
      <c r="B33" s="84"/>
      <c r="C33" s="84"/>
      <c r="D33" s="84"/>
      <c r="E33" s="84"/>
      <c r="F33" s="84"/>
    </row>
  </sheetData>
  <sheetProtection password="F89F" sheet="1" objects="1" scenarios="1"/>
  <mergeCells count="2">
    <mergeCell ref="D9:E9"/>
    <mergeCell ref="D10:E10"/>
  </mergeCells>
  <dataValidations count="2">
    <dataValidation type="list" allowBlank="1" showInputMessage="1" showErrorMessage="1" promptTitle="Residential Status" prompt="Select from the drop down menu" errorTitle="Select" error="Select from the drop down menu" sqref="E14">
      <formula1>rstatus</formula1>
    </dataValidation>
    <dataValidation type="textLength" operator="equal" allowBlank="1" showInputMessage="1" showErrorMessage="1" prompt="PAN Should be 10 Digits" errorTitle="PAN less than 10 digits" error="PAN Should be 10 Digits" sqref="E1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24"/>
  <sheetViews>
    <sheetView zoomScalePageLayoutView="0" workbookViewId="0" topLeftCell="A1">
      <selection activeCell="G1" sqref="G1"/>
    </sheetView>
  </sheetViews>
  <sheetFormatPr defaultColWidth="0" defaultRowHeight="15" zeroHeight="1"/>
  <cols>
    <col min="1" max="1" width="15.140625" style="22" customWidth="1"/>
    <col min="2" max="7" width="19.7109375" style="22" customWidth="1"/>
    <col min="8" max="9" width="9.140625" style="22" hidden="1" customWidth="1"/>
    <col min="10" max="10" width="12.00390625" style="22" hidden="1" customWidth="1"/>
    <col min="11" max="12" width="9.28125" style="22" hidden="1" customWidth="1"/>
    <col min="13" max="13" width="19.140625" style="22" hidden="1" customWidth="1"/>
    <col min="14" max="14" width="18.7109375" style="22" hidden="1" customWidth="1"/>
    <col min="15" max="15" width="18.57421875" style="22" hidden="1" customWidth="1"/>
    <col min="16" max="16" width="16.57421875" style="22" hidden="1" customWidth="1"/>
    <col min="17" max="17" width="18.00390625" style="22" hidden="1" customWidth="1"/>
    <col min="18" max="20" width="15.8515625" style="22" hidden="1" customWidth="1"/>
    <col min="21" max="22" width="14.28125" style="22" hidden="1" customWidth="1"/>
    <col min="23" max="23" width="9.57421875" style="22" hidden="1" customWidth="1"/>
    <col min="24" max="24" width="13.8515625" style="22" hidden="1" customWidth="1"/>
    <col min="25" max="25" width="18.57421875" style="22" hidden="1" customWidth="1"/>
    <col min="26" max="26" width="15.57421875" style="22" hidden="1" customWidth="1"/>
    <col min="27" max="27" width="16.28125" style="22" hidden="1" customWidth="1"/>
    <col min="28" max="28" width="16.00390625" style="22" hidden="1" customWidth="1"/>
    <col min="29" max="29" width="16.8515625" style="22" hidden="1" customWidth="1"/>
    <col min="30" max="32" width="16.140625" style="22" hidden="1" customWidth="1"/>
    <col min="33" max="33" width="16.28125" style="22" hidden="1" customWidth="1"/>
    <col min="34" max="34" width="16.7109375" style="22" hidden="1" customWidth="1"/>
    <col min="35" max="35" width="18.28125" style="22" hidden="1" customWidth="1"/>
    <col min="36" max="36" width="17.00390625" style="22" hidden="1" customWidth="1"/>
    <col min="37" max="49" width="9.140625" style="22" hidden="1" customWidth="1"/>
    <col min="50" max="16384" width="0" style="22" hidden="1" customWidth="1"/>
  </cols>
  <sheetData>
    <row r="1" ht="15">
      <c r="A1" s="45" t="s">
        <v>111</v>
      </c>
    </row>
    <row r="2" ht="15"/>
    <row r="3" spans="1:7" ht="15">
      <c r="A3" s="103" t="s">
        <v>42</v>
      </c>
      <c r="B3" s="103"/>
      <c r="C3" s="103"/>
      <c r="D3" s="103"/>
      <c r="E3" s="103"/>
      <c r="F3" s="103"/>
      <c r="G3" s="103"/>
    </row>
    <row r="4" spans="1:7" ht="15">
      <c r="A4" s="104" t="s">
        <v>43</v>
      </c>
      <c r="B4" s="104"/>
      <c r="C4" s="104"/>
      <c r="D4" s="104"/>
      <c r="E4" s="104"/>
      <c r="F4" s="104"/>
      <c r="G4" s="104"/>
    </row>
    <row r="5" spans="1:36" ht="121.5" customHeight="1">
      <c r="A5" s="23" t="s">
        <v>44</v>
      </c>
      <c r="B5" s="23" t="s">
        <v>45</v>
      </c>
      <c r="C5" s="23" t="s">
        <v>46</v>
      </c>
      <c r="D5" s="23" t="s">
        <v>47</v>
      </c>
      <c r="E5" s="23" t="s">
        <v>50</v>
      </c>
      <c r="F5" s="23" t="s">
        <v>49</v>
      </c>
      <c r="G5" s="23" t="s">
        <v>51</v>
      </c>
      <c r="I5" s="24" t="s">
        <v>21</v>
      </c>
      <c r="J5" s="24" t="s">
        <v>53</v>
      </c>
      <c r="K5" s="24" t="s">
        <v>52</v>
      </c>
      <c r="L5" s="24" t="s">
        <v>54</v>
      </c>
      <c r="M5" s="25" t="s">
        <v>55</v>
      </c>
      <c r="N5" s="25" t="s">
        <v>56</v>
      </c>
      <c r="O5" s="25" t="s">
        <v>57</v>
      </c>
      <c r="P5" s="25" t="s">
        <v>58</v>
      </c>
      <c r="Q5" s="25" t="s">
        <v>59</v>
      </c>
      <c r="R5" s="25" t="s">
        <v>70</v>
      </c>
      <c r="S5" s="25" t="s">
        <v>193</v>
      </c>
      <c r="T5" s="25" t="s">
        <v>194</v>
      </c>
      <c r="U5" s="25" t="s">
        <v>60</v>
      </c>
      <c r="V5" s="25" t="s">
        <v>195</v>
      </c>
      <c r="W5" s="25" t="s">
        <v>61</v>
      </c>
      <c r="X5" s="25" t="s">
        <v>72</v>
      </c>
      <c r="Y5" s="26" t="s">
        <v>69</v>
      </c>
      <c r="Z5" s="26" t="s">
        <v>63</v>
      </c>
      <c r="AA5" s="26" t="s">
        <v>64</v>
      </c>
      <c r="AB5" s="26" t="s">
        <v>65</v>
      </c>
      <c r="AC5" s="26" t="s">
        <v>59</v>
      </c>
      <c r="AD5" s="26" t="s">
        <v>71</v>
      </c>
      <c r="AE5" s="26" t="s">
        <v>100</v>
      </c>
      <c r="AF5" s="26" t="s">
        <v>196</v>
      </c>
      <c r="AG5" s="26" t="s">
        <v>66</v>
      </c>
      <c r="AH5" s="26" t="s">
        <v>67</v>
      </c>
      <c r="AI5" s="26" t="s">
        <v>68</v>
      </c>
      <c r="AJ5" s="26" t="s">
        <v>73</v>
      </c>
    </row>
    <row r="6" spans="1:36" ht="15.75">
      <c r="A6" s="27">
        <v>1</v>
      </c>
      <c r="B6" s="27">
        <v>2</v>
      </c>
      <c r="C6" s="27">
        <v>3</v>
      </c>
      <c r="D6" s="27" t="s">
        <v>48</v>
      </c>
      <c r="E6" s="27">
        <v>5</v>
      </c>
      <c r="F6" s="27">
        <v>6</v>
      </c>
      <c r="G6" s="27">
        <v>7</v>
      </c>
      <c r="I6" s="28"/>
      <c r="J6" s="29"/>
      <c r="K6" s="30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X6" s="32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5.75">
      <c r="A7" s="35" t="str">
        <f>data!B18</f>
        <v>2015-16</v>
      </c>
      <c r="B7" s="36">
        <f>data!C18</f>
        <v>450000</v>
      </c>
      <c r="C7" s="36">
        <f>data!D18</f>
        <v>55000</v>
      </c>
      <c r="D7" s="36">
        <f>B7+C7</f>
        <v>505000</v>
      </c>
      <c r="E7" s="36">
        <f>VLOOKUP(A7,$I$7:$X$20,16,FALSE)</f>
        <v>18540</v>
      </c>
      <c r="F7" s="36">
        <f>VLOOKUP(A7,$I$7:$AJ$20,28,FALSE)</f>
        <v>26780</v>
      </c>
      <c r="G7" s="36">
        <f>F7-E7</f>
        <v>8240</v>
      </c>
      <c r="I7" s="28" t="s">
        <v>191</v>
      </c>
      <c r="J7" s="29">
        <v>42095</v>
      </c>
      <c r="K7" s="30">
        <f>DATEDIF(data!$E$12,J7,"y")</f>
        <v>40</v>
      </c>
      <c r="L7" s="31">
        <f>data!$N$3</f>
        <v>1</v>
      </c>
      <c r="M7" s="32">
        <f aca="true" t="shared" si="0" ref="M7:M20">VLOOKUP(I7,$A$7:$B$20,2,FALSE)</f>
        <v>450000</v>
      </c>
      <c r="N7" s="37">
        <f>IF(AND(M7&gt;=250000,(M7&lt;500000)),(M7-250000)*0.1)+IF(AND(M7&gt;=500000,M7&lt;1000000),(25000+(M7-500000)*0.2))+IF(M7&gt;=1000000,(125000+(M7-1000000)*0.3))</f>
        <v>20000</v>
      </c>
      <c r="O7" s="32">
        <f>IF(AND(M7&gt;=250000,(M7&lt;500000)),(M7-250000)*0.1)+IF(AND(M7&gt;=500000,M7&lt;1000000),(25000+(M7-500000)*0.2))+IF($M7&gt;=1000000,(125000+(M7-1000000)*0.3))</f>
        <v>20000</v>
      </c>
      <c r="P7" s="32">
        <f>IF(AND(M7&gt;=300000,(M7&lt;500000)),(M7-300000)*0.1)+IF(AND(M7&gt;=500000,M7&lt;1000000),(20000+(M7-500000)*0.2))+IF($M7&gt;=1000000,(120000+(M7-1000000)*0.3))</f>
        <v>15000</v>
      </c>
      <c r="Q7" s="32">
        <f>IF(L7=1,N7,O7)</f>
        <v>20000</v>
      </c>
      <c r="R7" s="32">
        <f>IF(K7&gt;=60,P7,Q7)</f>
        <v>20000</v>
      </c>
      <c r="S7" s="32">
        <f>IF(R7&gt;2000,2000,R7)</f>
        <v>2000</v>
      </c>
      <c r="T7" s="32">
        <f>IF(M7&gt;500000,0,S7)</f>
        <v>2000</v>
      </c>
      <c r="U7" s="33">
        <f>IF(M7&gt;10000000,(R7-S7)*0.1,0)</f>
        <v>0</v>
      </c>
      <c r="V7" s="33">
        <f aca="true" t="shared" si="1" ref="V7:V20">R7-T7+U7</f>
        <v>18000</v>
      </c>
      <c r="W7" s="33">
        <f>V7*0.03</f>
        <v>540</v>
      </c>
      <c r="X7" s="33">
        <f aca="true" t="shared" si="2" ref="X7:X20">ROUND(V7+W7,0)</f>
        <v>18540</v>
      </c>
      <c r="Y7" s="34">
        <f aca="true" t="shared" si="3" ref="Y7:Y20">VLOOKUP(I7,$A$7:$D$20,4,FALSE)</f>
        <v>505000</v>
      </c>
      <c r="Z7" s="39">
        <f>IF(AND(Y7&gt;=250000,(Y7&lt;500000)),(Y7-250000)*0.1)+IF(AND(Y7&gt;=500000,Y7&lt;1000000),(25000+(Y7-500000)*0.2))+IF(Y7&gt;=1000000,(125000+(Y7-1000000)*0.3))</f>
        <v>26000</v>
      </c>
      <c r="AA7" s="34">
        <f>IF(AND(Y7&gt;=250000,(Y7&lt;500000)),(Y7-250000)*0.1)+IF(AND(Y7&gt;=500000,Y7&lt;1000000),(25000+(Y7-500000)*0.2))+IF(Y7&gt;=1000000,(125000+(Y7-1000000)*0.3))</f>
        <v>26000</v>
      </c>
      <c r="AB7" s="34">
        <f>IF(AND(Y7&gt;=300000,(Y7&lt;500000)),(Y7-300000)*0.1)+IF(AND(Y7&gt;=500000,Y7&lt;1000000),(20000+(Y7-500000)*0.2))+IF(Y7&gt;=1000000,(120000+(Y7-1000000)*0.3))</f>
        <v>21000</v>
      </c>
      <c r="AC7" s="40">
        <f>IF(L7=1,Z7,AA7)</f>
        <v>26000</v>
      </c>
      <c r="AD7" s="40">
        <f>IF(K7&gt;=60,AB7,AC7)</f>
        <v>26000</v>
      </c>
      <c r="AE7" s="40">
        <f>IF(AD7&gt;2000,2000,AD7)</f>
        <v>2000</v>
      </c>
      <c r="AF7" s="40">
        <f>IF(Y7&gt;500000,0,AE7)</f>
        <v>0</v>
      </c>
      <c r="AG7" s="40">
        <f>IF(Y7&gt;10000000,(AD7-AF7)*0.1,0)</f>
        <v>0</v>
      </c>
      <c r="AH7" s="40">
        <f>AD7-AF7+AG7</f>
        <v>26000</v>
      </c>
      <c r="AI7" s="41">
        <f>AH7*0.03</f>
        <v>780</v>
      </c>
      <c r="AJ7" s="40">
        <f>ROUND(AH7+AI7,0)</f>
        <v>26780</v>
      </c>
    </row>
    <row r="8" spans="1:36" ht="15.75">
      <c r="A8" s="35" t="str">
        <f>data!B19</f>
        <v>2014-15</v>
      </c>
      <c r="B8" s="36">
        <f>data!C19</f>
        <v>300000</v>
      </c>
      <c r="C8" s="36">
        <f>data!D19</f>
        <v>2200</v>
      </c>
      <c r="D8" s="36">
        <f aca="true" t="shared" si="4" ref="D8:D20">B8+C8</f>
        <v>302200</v>
      </c>
      <c r="E8" s="36">
        <f aca="true" t="shared" si="5" ref="E8:E20">VLOOKUP(A8,$I$7:$X$20,16,FALSE)</f>
        <v>3090</v>
      </c>
      <c r="F8" s="36">
        <f aca="true" t="shared" si="6" ref="F8:F20">VLOOKUP(A8,$I$7:$AJ$20,28,FALSE)</f>
        <v>3317</v>
      </c>
      <c r="G8" s="36">
        <f aca="true" t="shared" si="7" ref="G8:G20">F8-E8</f>
        <v>227</v>
      </c>
      <c r="I8" s="28" t="s">
        <v>7</v>
      </c>
      <c r="J8" s="29">
        <v>41730</v>
      </c>
      <c r="K8" s="30">
        <f>DATEDIF(data!$E$12,J8,"y")</f>
        <v>39</v>
      </c>
      <c r="L8" s="31">
        <f>data!$N$3</f>
        <v>1</v>
      </c>
      <c r="M8" s="32">
        <f t="shared" si="0"/>
        <v>300000</v>
      </c>
      <c r="N8" s="37">
        <f>IF(AND(M8&gt;=250000,(M8&lt;500000)),(M8-250000)*0.1)+IF(AND(M8&gt;=500000,M8&lt;1000000),(25000+(M8-500000)*0.2))+IF(M8&gt;=1000000,(125000+(M8-1000000)*0.3))</f>
        <v>5000</v>
      </c>
      <c r="O8" s="32">
        <f>IF(AND(M8&gt;=250000,(M8&lt;500000)),(M8-250000)*0.1)+IF(AND(M8&gt;=500000,M8&lt;1000000),(25000+(M8-500000)*0.2))+IF($M8&gt;=1000000,(125000+(M8-1000000)*0.3))</f>
        <v>5000</v>
      </c>
      <c r="P8" s="32">
        <f>IF(AND(M8&gt;=300000,(M8&lt;500000)),(M8-300000)*0.1)+IF(AND(M8&gt;=500000,M8&lt;1000000),(20000+(M8-500000)*0.2))+IF($M8&gt;=1000000,(120000+(M8-1000000)*0.3))</f>
        <v>0</v>
      </c>
      <c r="Q8" s="32">
        <f aca="true" t="shared" si="8" ref="Q8:Q14">IF(L8=1,N8,O8)</f>
        <v>5000</v>
      </c>
      <c r="R8" s="32">
        <f>IF(K8&gt;=60,P8,Q8)</f>
        <v>5000</v>
      </c>
      <c r="S8" s="32">
        <f>IF(R8&gt;2000,2000,R8)</f>
        <v>2000</v>
      </c>
      <c r="T8" s="32">
        <f>IF(M8&gt;500000,0,S8)</f>
        <v>2000</v>
      </c>
      <c r="U8" s="33">
        <f>IF(M8&gt;10000000,(R8-S8)*0.1,0)</f>
        <v>0</v>
      </c>
      <c r="V8" s="33">
        <f t="shared" si="1"/>
        <v>3000</v>
      </c>
      <c r="W8" s="33">
        <f>V8*0.03</f>
        <v>90</v>
      </c>
      <c r="X8" s="33">
        <f t="shared" si="2"/>
        <v>3090</v>
      </c>
      <c r="Y8" s="34">
        <f t="shared" si="3"/>
        <v>302200</v>
      </c>
      <c r="Z8" s="39">
        <f>IF(AND(Y8&gt;=250000,(Y8&lt;500000)),(Y8-250000)*0.1)+IF(AND(Y8&gt;=500000,Y8&lt;1000000),(25000+(Y8-500000)*0.2))+IF(Y8&gt;=1000000,(125000+(Y8-1000000)*0.3))</f>
        <v>5220</v>
      </c>
      <c r="AA8" s="34">
        <f>IF(AND(Y8&gt;=250000,(Y8&lt;500000)),(Y8-250000)*0.1)+IF(AND(Y8&gt;=500000,Y8&lt;1000000),(25000+(Y8-500000)*0.2))+IF(Y8&gt;=1000000,(125000+(Y8-1000000)*0.3))</f>
        <v>5220</v>
      </c>
      <c r="AB8" s="34">
        <f>IF(AND(Y8&gt;=300000,(Y8&lt;500000)),(Y8-300000)*0.1)+IF(AND(Y8&gt;=500000,Y8&lt;1000000),(20000+(Y8-500000)*0.2))+IF(Y8&gt;=1000000,(120000+(Y8-1000000)*0.3))</f>
        <v>220</v>
      </c>
      <c r="AC8" s="40">
        <f aca="true" t="shared" si="9" ref="AC8:AC14">IF(L8=1,Z8,AA8)</f>
        <v>5220</v>
      </c>
      <c r="AD8" s="40">
        <f>IF(K8&gt;=60,AB8,AC8)</f>
        <v>5220</v>
      </c>
      <c r="AE8" s="40">
        <f>IF(AD8&gt;2000,2000,AD8)</f>
        <v>2000</v>
      </c>
      <c r="AF8" s="40">
        <f>IF(Y8&gt;500000,0,AE8)</f>
        <v>2000</v>
      </c>
      <c r="AG8" s="40">
        <f>IF(Y8&gt;10000000,(AD8-AF8)*0.1,0)</f>
        <v>0</v>
      </c>
      <c r="AH8" s="40">
        <f>AD8-AF8+AG8</f>
        <v>3220</v>
      </c>
      <c r="AI8" s="41">
        <f>AH8*0.03</f>
        <v>96.6</v>
      </c>
      <c r="AJ8" s="40">
        <f aca="true" t="shared" si="10" ref="AJ8:AJ14">ROUND(AH8+AI8,0)</f>
        <v>3317</v>
      </c>
    </row>
    <row r="9" spans="1:36" ht="15.75">
      <c r="A9" s="35" t="str">
        <f>data!B20</f>
        <v>2013-14</v>
      </c>
      <c r="B9" s="36">
        <f>data!C20</f>
        <v>240000</v>
      </c>
      <c r="C9" s="36">
        <f>data!D20</f>
        <v>1200</v>
      </c>
      <c r="D9" s="36">
        <f t="shared" si="4"/>
        <v>241200</v>
      </c>
      <c r="E9" s="36">
        <f t="shared" si="5"/>
        <v>2060</v>
      </c>
      <c r="F9" s="36">
        <f t="shared" si="6"/>
        <v>2184</v>
      </c>
      <c r="G9" s="36">
        <f t="shared" si="7"/>
        <v>124</v>
      </c>
      <c r="I9" s="28" t="s">
        <v>6</v>
      </c>
      <c r="J9" s="29">
        <v>41365</v>
      </c>
      <c r="K9" s="30">
        <f>DATEDIF(data!$E$12,J9,"y")</f>
        <v>38</v>
      </c>
      <c r="L9" s="31">
        <f>data!$N$3</f>
        <v>1</v>
      </c>
      <c r="M9" s="32">
        <f t="shared" si="0"/>
        <v>240000</v>
      </c>
      <c r="N9" s="37">
        <f>IF(AND(M9&gt;=200000,(M9&lt;500000)),(M9-200000)*0.1)+IF(AND(M9&gt;=500000,M9&lt;1000000),(30000+(M9-500000)*0.2))+IF(M9&gt;=1000000,(130000+(M9-1000000)*0.3))</f>
        <v>4000</v>
      </c>
      <c r="O9" s="32">
        <f>IF(AND(M9&gt;=200000,(M9&lt;500000)),(M9-200000)*0.1)+IF(AND(M9&gt;=500000,M9&lt;1000000),(30000+(M9-500000)*0.2))+IF($M9&gt;=1000000,(130000+(M9-1000000)*0.3))</f>
        <v>4000</v>
      </c>
      <c r="P9" s="32">
        <f>IF(AND(M9&gt;=250000,(M9&lt;500000)),(M9-250000)*0.1)+IF(AND(M9&gt;=500000,M9&lt;1000000),(25000+(M9-500000)*0.2))+IF($M9&gt;=1000000,(125000+(M9-1000000)*0.3))</f>
        <v>0</v>
      </c>
      <c r="Q9" s="32">
        <f t="shared" si="8"/>
        <v>4000</v>
      </c>
      <c r="R9" s="32">
        <f>IF(K9&gt;=60,P9,Q9)</f>
        <v>4000</v>
      </c>
      <c r="S9" s="32">
        <f>IF(R9&gt;2000,2000,R9)</f>
        <v>2000</v>
      </c>
      <c r="T9" s="32">
        <f>IF(M9&gt;500000,0,S9)</f>
        <v>2000</v>
      </c>
      <c r="U9" s="33">
        <f>IF(M9&gt;10000000,(R9-S9)*0.1,0)</f>
        <v>0</v>
      </c>
      <c r="V9" s="33">
        <f t="shared" si="1"/>
        <v>2000</v>
      </c>
      <c r="W9" s="33">
        <f>V9*0.03</f>
        <v>60</v>
      </c>
      <c r="X9" s="33">
        <f t="shared" si="2"/>
        <v>2060</v>
      </c>
      <c r="Y9" s="34">
        <f t="shared" si="3"/>
        <v>241200</v>
      </c>
      <c r="Z9" s="39">
        <f>IF(AND(Y9&gt;=200000,(Y9&lt;500000)),(Y9-200000)*0.1)+IF(AND(Y9&gt;=500000,Y9&lt;1000000),(30000+(Y9-500000)*0.2))+IF(Y9&gt;=1000000,(130000+(Y9-1000000)*0.3))</f>
        <v>4120</v>
      </c>
      <c r="AA9" s="34">
        <f>IF(AND(Y9&gt;=200000,(Y9&lt;500000)),(Y9-200000)*0.1)+IF(AND(Y9&gt;=500000,Y9&lt;1000000),(30000+(Y9-500000)*0.2))+IF(Y9&gt;=1000000,(130000+(Y9-1000000)*0.3))</f>
        <v>4120</v>
      </c>
      <c r="AB9" s="34">
        <f>IF(AND(Y9&gt;=250000,(Y9&lt;500000)),(Y9-250000)*0.1)+IF(AND(Y9&gt;=500000,Y9&lt;1000000),(25000+(Y9-500000)*0.2))+IF(Y9&gt;=1000000,(125000+(Y9-1000000)*0.3))</f>
        <v>0</v>
      </c>
      <c r="AC9" s="40">
        <f t="shared" si="9"/>
        <v>4120</v>
      </c>
      <c r="AD9" s="40">
        <f>IF(K9&gt;=60,AB9,AC9)</f>
        <v>4120</v>
      </c>
      <c r="AE9" s="40">
        <f>IF(AD9&gt;2000,2000,AD9)</f>
        <v>2000</v>
      </c>
      <c r="AF9" s="40">
        <f>IF(Y9&gt;500000,0,AE9)</f>
        <v>2000</v>
      </c>
      <c r="AG9" s="40">
        <f>IF(Y9&gt;10000000,(AD9-AF9)*0.1,0)</f>
        <v>0</v>
      </c>
      <c r="AH9" s="40">
        <f>AD9-AF9+AG9</f>
        <v>2120</v>
      </c>
      <c r="AI9" s="41">
        <f>AH9*0.03</f>
        <v>63.599999999999994</v>
      </c>
      <c r="AJ9" s="40">
        <f t="shared" si="10"/>
        <v>2184</v>
      </c>
    </row>
    <row r="10" spans="1:36" ht="15.75">
      <c r="A10" s="35" t="str">
        <f>data!B21</f>
        <v>2012-13</v>
      </c>
      <c r="B10" s="36">
        <f>data!C21</f>
        <v>230000</v>
      </c>
      <c r="C10" s="36">
        <f>data!D21</f>
        <v>3800</v>
      </c>
      <c r="D10" s="36">
        <f t="shared" si="4"/>
        <v>233800</v>
      </c>
      <c r="E10" s="36">
        <f t="shared" si="5"/>
        <v>3090</v>
      </c>
      <c r="F10" s="36">
        <f t="shared" si="6"/>
        <v>3481</v>
      </c>
      <c r="G10" s="36">
        <f t="shared" si="7"/>
        <v>391</v>
      </c>
      <c r="I10" s="28" t="s">
        <v>8</v>
      </c>
      <c r="J10" s="29">
        <v>41000</v>
      </c>
      <c r="K10" s="30">
        <f>DATEDIF(data!$E$12,J10,"y")</f>
        <v>37</v>
      </c>
      <c r="L10" s="31">
        <f>data!$N$3</f>
        <v>1</v>
      </c>
      <c r="M10" s="32">
        <f t="shared" si="0"/>
        <v>230000</v>
      </c>
      <c r="N10" s="37">
        <f>IF(AND(M10&gt;=200000,(M10&lt;500000)),(M10-200000)*0.1)+IF(AND(M10&gt;=500000,M10&lt;1000000),(30000+(M10-500000)*0.2))+IF(M10&gt;=1000000,(130000+(M10-1000000)*0.3))</f>
        <v>3000</v>
      </c>
      <c r="O10" s="32">
        <f>IF(AND(M10&gt;=200000,(M10&lt;500000)),(M10-200000)*0.1)+IF(AND(M10&gt;=500000,M10&lt;1000000),(30000+(M10-500000)*0.2))+IF($M10&gt;=1000000,(130000+(M10-1000000)*0.3))</f>
        <v>3000</v>
      </c>
      <c r="P10" s="32">
        <f>IF(AND(M10&gt;=250000,(M10&lt;500000)),(M10-250000)*0.1)+IF(AND(M10&gt;=500000,M10&lt;1000000),(25000+(M10-500000)*0.2))+IF($M10&gt;=1000000,(125000+(M10-1000000)*0.3))</f>
        <v>0</v>
      </c>
      <c r="Q10" s="32">
        <f t="shared" si="8"/>
        <v>3000</v>
      </c>
      <c r="R10" s="32">
        <f>IF(K10&gt;=60,P10,Q10)</f>
        <v>3000</v>
      </c>
      <c r="S10" s="32"/>
      <c r="T10" s="32"/>
      <c r="U10" s="38">
        <v>0</v>
      </c>
      <c r="V10" s="33">
        <f t="shared" si="1"/>
        <v>3000</v>
      </c>
      <c r="W10" s="33">
        <f aca="true" t="shared" si="11" ref="W10:W16">V10*0.03</f>
        <v>90</v>
      </c>
      <c r="X10" s="33">
        <f t="shared" si="2"/>
        <v>3090</v>
      </c>
      <c r="Y10" s="34">
        <f t="shared" si="3"/>
        <v>233800</v>
      </c>
      <c r="Z10" s="39">
        <f>IF(AND(Y10&gt;=200000,(Y10&lt;500000)),(Y10-200000)*0.1)+IF(AND(Y10&gt;=500000,Y10&lt;1000000),(30000+(Y10-500000)*0.2))+IF(Y10&gt;=1000000,(130000+(Y10-1000000)*0.3))</f>
        <v>3380</v>
      </c>
      <c r="AA10" s="34">
        <f>IF(AND(Y10&gt;=200000,(Y10&lt;500000)),(Y10-200000)*0.1)+IF(AND(Y10&gt;=500000,Y10&lt;1000000),(30000+(Y10-500000)*0.2))+IF(Y10&gt;=1000000,(130000+(Y10-1000000)*0.3))</f>
        <v>3380</v>
      </c>
      <c r="AB10" s="34">
        <f>IF(AND(Y10&gt;=250000,(Y10&lt;500000)),(Y10-250000)*0.1)+IF(AND(Y10&gt;=500000,Y10&lt;1000000),(25000+(Y10-500000)*0.2))+IF(Y10&gt;=1000000,(125000+(Y10-1000000)*0.3))</f>
        <v>0</v>
      </c>
      <c r="AC10" s="40">
        <f t="shared" si="9"/>
        <v>3380</v>
      </c>
      <c r="AD10" s="40">
        <f>IF(K10&gt;=60,AB10,AC10)</f>
        <v>3380</v>
      </c>
      <c r="AE10" s="40"/>
      <c r="AF10" s="40"/>
      <c r="AG10" s="40">
        <v>0</v>
      </c>
      <c r="AH10" s="40">
        <f aca="true" t="shared" si="12" ref="AH10:AH20">AD10+AG10</f>
        <v>3380</v>
      </c>
      <c r="AI10" s="41">
        <f>AH10*0.03</f>
        <v>101.39999999999999</v>
      </c>
      <c r="AJ10" s="40">
        <f t="shared" si="10"/>
        <v>3481</v>
      </c>
    </row>
    <row r="11" spans="1:36" ht="15.75">
      <c r="A11" s="35" t="str">
        <f>data!B22</f>
        <v>2011-12</v>
      </c>
      <c r="B11" s="36">
        <f>data!C22</f>
        <v>200000</v>
      </c>
      <c r="C11" s="36">
        <f>data!D22</f>
        <v>1500</v>
      </c>
      <c r="D11" s="36">
        <f t="shared" si="4"/>
        <v>201500</v>
      </c>
      <c r="E11" s="36">
        <f t="shared" si="5"/>
        <v>2060</v>
      </c>
      <c r="F11" s="36">
        <f t="shared" si="6"/>
        <v>2215</v>
      </c>
      <c r="G11" s="36">
        <f t="shared" si="7"/>
        <v>155</v>
      </c>
      <c r="I11" s="28" t="s">
        <v>9</v>
      </c>
      <c r="J11" s="29">
        <v>40634</v>
      </c>
      <c r="K11" s="30">
        <f>DATEDIF(data!$E$12,J11,"y")</f>
        <v>36</v>
      </c>
      <c r="L11" s="31">
        <f>data!$N$3</f>
        <v>1</v>
      </c>
      <c r="M11" s="32">
        <f t="shared" si="0"/>
        <v>200000</v>
      </c>
      <c r="N11" s="37">
        <f>IF(AND(M11&gt;=180000,(M11&lt;500000)),(M11-180000)*0.1)+IF(AND(M11&gt;=500000,M11&lt;800000),(32000+(M11-500000)*0.2))+IF($M11&gt;=800000,(92000+(M11-800000)*0.3))</f>
        <v>2000</v>
      </c>
      <c r="O11" s="32">
        <f>IF(AND(M11&gt;=190000,(M11&lt;500000)),(M11-190000)*0.1)+IF(AND(M11&gt;=500000,M11&lt;800000),(31000+(M11-500000)*0.2))+IF($M11&gt;=800000,(91000+(M11-800000)*0.3))</f>
        <v>1000</v>
      </c>
      <c r="P11" s="32">
        <f>IF(AND(M11&gt;=250000,(M11&lt;500000)),(M11-250000)*0.1)+IF(AND(M11&gt;=500000,M11&lt;800000),(25000+(M11-500000)*0.2))+IF($M11&gt;=800000,(85000+(M11-800000)*0.3))</f>
        <v>0</v>
      </c>
      <c r="Q11" s="32">
        <f t="shared" si="8"/>
        <v>2000</v>
      </c>
      <c r="R11" s="32">
        <f>IF(K11&gt;=60,P11,Q11)</f>
        <v>2000</v>
      </c>
      <c r="S11" s="32"/>
      <c r="T11" s="32"/>
      <c r="U11" s="38">
        <v>0</v>
      </c>
      <c r="V11" s="33">
        <f t="shared" si="1"/>
        <v>2000</v>
      </c>
      <c r="W11" s="33">
        <f t="shared" si="11"/>
        <v>60</v>
      </c>
      <c r="X11" s="33">
        <f t="shared" si="2"/>
        <v>2060</v>
      </c>
      <c r="Y11" s="34">
        <f t="shared" si="3"/>
        <v>201500</v>
      </c>
      <c r="Z11" s="34">
        <f>IF(AND(Y11&gt;=180000,(Y11&lt;500000)),(Y11-180000)*0.1)+IF(AND(Y11&gt;=500000,Y11&lt;800000),(32000+(Y11-500000)*0.2))+IF($Y11&gt;=800000,(92000+(Y11-800000)*0.3))</f>
        <v>2150</v>
      </c>
      <c r="AA11" s="34">
        <f>IF(AND(Y11&gt;=190000,(Y11&lt;500000)),(Y11-190000)*0.1)+IF(AND(Y11&gt;=500000,Y11&lt;800000),(31000+(Y11-500000)*0.2))+IF($Y11&gt;=800000,(91000+(Y11-800000)*0.3))</f>
        <v>1150</v>
      </c>
      <c r="AB11" s="34">
        <f>IF(AND(Y11&gt;=250000,(Y11&lt;500000)),(Y11-250000)*0.1)+IF(AND(Y11&gt;=500000,Y11&lt;800000),(25000+(Y11-500000)*0.2))+IF($Y11&gt;=800000,(85000+(Y11-800000)*0.3))</f>
        <v>0</v>
      </c>
      <c r="AC11" s="40">
        <f t="shared" si="9"/>
        <v>2150</v>
      </c>
      <c r="AD11" s="40">
        <f>IF(K11&gt;=60,AB11,AC11)</f>
        <v>2150</v>
      </c>
      <c r="AE11" s="40"/>
      <c r="AF11" s="40"/>
      <c r="AG11" s="40">
        <v>0</v>
      </c>
      <c r="AH11" s="40">
        <f t="shared" si="12"/>
        <v>2150</v>
      </c>
      <c r="AI11" s="41">
        <f aca="true" t="shared" si="13" ref="AI11:AI16">AH11*0.03</f>
        <v>64.5</v>
      </c>
      <c r="AJ11" s="40">
        <f t="shared" si="10"/>
        <v>2215</v>
      </c>
    </row>
    <row r="12" spans="1:36" ht="15.75">
      <c r="A12" s="35" t="str">
        <f>data!B23</f>
        <v>2010-11</v>
      </c>
      <c r="B12" s="36">
        <f>data!C23</f>
        <v>105000</v>
      </c>
      <c r="C12" s="36">
        <f>data!D23</f>
        <v>4000</v>
      </c>
      <c r="D12" s="36">
        <f t="shared" si="4"/>
        <v>109000</v>
      </c>
      <c r="E12" s="36">
        <f t="shared" si="5"/>
        <v>0</v>
      </c>
      <c r="F12" s="36">
        <f t="shared" si="6"/>
        <v>0</v>
      </c>
      <c r="G12" s="36">
        <f t="shared" si="7"/>
        <v>0</v>
      </c>
      <c r="I12" s="28" t="s">
        <v>10</v>
      </c>
      <c r="J12" s="29">
        <v>40269</v>
      </c>
      <c r="K12" s="30">
        <f>DATEDIF(data!$E$12,J12,"y")</f>
        <v>35</v>
      </c>
      <c r="L12" s="31">
        <f>data!$N$3</f>
        <v>1</v>
      </c>
      <c r="M12" s="32">
        <f t="shared" si="0"/>
        <v>105000</v>
      </c>
      <c r="N12" s="37">
        <f>IF(AND(M12&gt;=160000,(M12&lt;500000)),(M12-160000)*0.1)+IF(AND(M12&gt;=500000,M12&lt;800000),(34000+(M12-500000)*0.2))+IF($M12&gt;=800000,(94000+(M12-800000)*0.3))</f>
        <v>0</v>
      </c>
      <c r="O12" s="32">
        <f>IF(AND(M12&gt;=190000,(M12&lt;500000)),(M12-190000)*0.1)+IF(AND(M12&gt;=500000,M12&lt;800000),(31000+(M12-500000)*0.2))+IF($M12&gt;=800000,(91000+(M12-800000)*0.3))</f>
        <v>0</v>
      </c>
      <c r="P12" s="32">
        <f>IF(AND(M12&gt;=240000,(M12&lt;500000)),(M12-240000)*0.1)+IF(AND(M12&gt;=500000,M12&lt;800000),(26000+(M12-500000)*0.2))+IF($M12&gt;=800000,(86000+(M12-800000)*0.3))</f>
        <v>0</v>
      </c>
      <c r="Q12" s="32">
        <f t="shared" si="8"/>
        <v>0</v>
      </c>
      <c r="R12" s="32">
        <f aca="true" t="shared" si="14" ref="R12:R20">IF(K12&gt;=65,P12,Q12)</f>
        <v>0</v>
      </c>
      <c r="S12" s="32"/>
      <c r="T12" s="32"/>
      <c r="U12" s="38">
        <v>0</v>
      </c>
      <c r="V12" s="33">
        <f t="shared" si="1"/>
        <v>0</v>
      </c>
      <c r="W12" s="33">
        <f t="shared" si="11"/>
        <v>0</v>
      </c>
      <c r="X12" s="33">
        <f t="shared" si="2"/>
        <v>0</v>
      </c>
      <c r="Y12" s="34">
        <f t="shared" si="3"/>
        <v>109000</v>
      </c>
      <c r="Z12" s="34">
        <f>IF(AND(Y12&gt;=160000,(Y12&lt;500000)),(Y12-160000)*0.1)+IF(AND(Y12&gt;=500000,Y12&lt;800000),(34000+(Y12-500000)*0.2))+IF($Y12&gt;=800000,(94000+(Y12-800000)*0.3))</f>
        <v>0</v>
      </c>
      <c r="AA12" s="34">
        <f>IF(AND(Y12&gt;=190000,(Y12&lt;500000)),(Y12-190000)*0.1)+IF(AND(Y12&gt;=500000,Y12&lt;800000),(31000+(Y12-500000)*0.2))+IF($Y12&gt;=800000,(91000+(Y12-800000)*0.3))</f>
        <v>0</v>
      </c>
      <c r="AB12" s="34">
        <f>IF(AND(Y12&gt;=240000,(Y12&lt;500000)),(Y12-240000)*0.1)+IF(AND(Y12&gt;=500000,Y12&lt;800000),(26000+(Y12-500000)*0.2))+IF($Y12&gt;=800000,(86000+(Y12-800000)*0.3))</f>
        <v>0</v>
      </c>
      <c r="AC12" s="40">
        <f t="shared" si="9"/>
        <v>0</v>
      </c>
      <c r="AD12" s="40">
        <f aca="true" t="shared" si="15" ref="AD12:AD20">IF(K12&gt;=65,AB12,AC12)</f>
        <v>0</v>
      </c>
      <c r="AE12" s="40"/>
      <c r="AF12" s="40"/>
      <c r="AG12" s="40">
        <v>0</v>
      </c>
      <c r="AH12" s="40">
        <f t="shared" si="12"/>
        <v>0</v>
      </c>
      <c r="AI12" s="41">
        <f t="shared" si="13"/>
        <v>0</v>
      </c>
      <c r="AJ12" s="40">
        <f t="shared" si="10"/>
        <v>0</v>
      </c>
    </row>
    <row r="13" spans="1:36" ht="15.75">
      <c r="A13" s="35" t="str">
        <f>data!B24</f>
        <v>2009-10</v>
      </c>
      <c r="B13" s="36">
        <f>data!C24</f>
        <v>85000</v>
      </c>
      <c r="C13" s="36">
        <f>data!D24</f>
        <v>5000</v>
      </c>
      <c r="D13" s="36">
        <f t="shared" si="4"/>
        <v>90000</v>
      </c>
      <c r="E13" s="36">
        <f t="shared" si="5"/>
        <v>0</v>
      </c>
      <c r="F13" s="36">
        <f t="shared" si="6"/>
        <v>0</v>
      </c>
      <c r="G13" s="36">
        <f t="shared" si="7"/>
        <v>0</v>
      </c>
      <c r="I13" s="28" t="s">
        <v>11</v>
      </c>
      <c r="J13" s="29">
        <v>39904</v>
      </c>
      <c r="K13" s="30">
        <f>DATEDIF(data!$E$12,J13,"y")</f>
        <v>34</v>
      </c>
      <c r="L13" s="31">
        <f>data!$N$3</f>
        <v>1</v>
      </c>
      <c r="M13" s="32">
        <f t="shared" si="0"/>
        <v>85000</v>
      </c>
      <c r="N13" s="37">
        <f>IF(AND(M13&gt;=160000,(M13&lt;300000)),(M13-160000)*0.1)+IF(AND(M13&gt;=300000,M13&lt;500000),(14000+(M13-300000)*0.2))+IF($M13&gt;=500000,(54000+(M13-500000)*0.3))</f>
        <v>0</v>
      </c>
      <c r="O13" s="33">
        <f>IF(AND(M13&gt;=190000,(M13&lt;300000)),(M13-190000)*0.1)+IF(AND(M13&gt;=300000,M13&lt;500000),(11000+(M13-300000)*0.2))+IF($M13&gt;=500000,(51000+(M13-500000)*0.3))</f>
        <v>0</v>
      </c>
      <c r="P13" s="33">
        <f>IF(AND(M13&gt;=240000,(M13&lt;300000)),(M13-240000)*0.1)+IF(AND(M13&gt;=300000,M13&lt;500000),(6000+(M13-300000)*0.2))+IF($M13&gt;=500000,(46000+(M13-500000)*0.3))</f>
        <v>0</v>
      </c>
      <c r="Q13" s="32">
        <f t="shared" si="8"/>
        <v>0</v>
      </c>
      <c r="R13" s="32">
        <f t="shared" si="14"/>
        <v>0</v>
      </c>
      <c r="S13" s="32"/>
      <c r="T13" s="32"/>
      <c r="U13" s="38">
        <v>0</v>
      </c>
      <c r="V13" s="33">
        <f t="shared" si="1"/>
        <v>0</v>
      </c>
      <c r="W13" s="33">
        <f t="shared" si="11"/>
        <v>0</v>
      </c>
      <c r="X13" s="33">
        <f t="shared" si="2"/>
        <v>0</v>
      </c>
      <c r="Y13" s="34">
        <f t="shared" si="3"/>
        <v>90000</v>
      </c>
      <c r="Z13" s="34">
        <f>IF(AND(Y13&gt;=160000,(Y13&lt;300000)),(Y13-160000)*0.1)+IF(AND(Y13&gt;=300000,Y13&lt;500000),(14000+(Y13-300000)*0.2))+IF($Y13&gt;=500000,(54000+(Y13-500000)*0.3))</f>
        <v>0</v>
      </c>
      <c r="AA13" s="34">
        <f>IF(AND(Y13&gt;=190000,(Y13&lt;300000)),(Y13-190000)*0.1)+IF(AND(Y13&gt;=300000,Y13&lt;500000),(11000+(Y13-300000)*0.2))+IF($Y13&gt;=500000,(51000+(Y13-500000)*0.3))</f>
        <v>0</v>
      </c>
      <c r="AB13" s="34">
        <f>IF(AND(Y13&gt;=240000,(Y13&lt;300000)),(Y13-240000)*0.1)+IF(AND(Y13&gt;=300000,Y13&lt;500000),(6000+(Y13-300000)*0.2))+IF($Y13&gt;=500000,(46000+(Y13-500000)*0.3))</f>
        <v>0</v>
      </c>
      <c r="AC13" s="40">
        <f t="shared" si="9"/>
        <v>0</v>
      </c>
      <c r="AD13" s="40">
        <f t="shared" si="15"/>
        <v>0</v>
      </c>
      <c r="AE13" s="40"/>
      <c r="AF13" s="40"/>
      <c r="AG13" s="40">
        <v>0</v>
      </c>
      <c r="AH13" s="40">
        <f t="shared" si="12"/>
        <v>0</v>
      </c>
      <c r="AI13" s="41">
        <f t="shared" si="13"/>
        <v>0</v>
      </c>
      <c r="AJ13" s="40">
        <f t="shared" si="10"/>
        <v>0</v>
      </c>
    </row>
    <row r="14" spans="1:36" ht="15.75">
      <c r="A14" s="35" t="str">
        <f>data!B25</f>
        <v>2008-09</v>
      </c>
      <c r="B14" s="36">
        <f>data!C25</f>
        <v>80000</v>
      </c>
      <c r="C14" s="36">
        <f>data!D25</f>
        <v>2415</v>
      </c>
      <c r="D14" s="36">
        <f t="shared" si="4"/>
        <v>82415</v>
      </c>
      <c r="E14" s="36">
        <f t="shared" si="5"/>
        <v>0</v>
      </c>
      <c r="F14" s="36">
        <f t="shared" si="6"/>
        <v>0</v>
      </c>
      <c r="G14" s="36">
        <f t="shared" si="7"/>
        <v>0</v>
      </c>
      <c r="I14" s="28" t="s">
        <v>12</v>
      </c>
      <c r="J14" s="29">
        <v>39539</v>
      </c>
      <c r="K14" s="30">
        <f>DATEDIF(data!$E$12,J14,"y")</f>
        <v>33</v>
      </c>
      <c r="L14" s="31">
        <f>data!$N$3</f>
        <v>1</v>
      </c>
      <c r="M14" s="33">
        <f t="shared" si="0"/>
        <v>80000</v>
      </c>
      <c r="N14" s="37">
        <f>IF(AND(M14&gt;=150000,(M14&lt;300000)),(M14-150000)*0.1)+IF(AND(M14&gt;=300000,M14&lt;500000),(15000+(M14-300000)*0.2))+IF($M14&gt;=500000,(55000+(M14-500000)*0.3))</f>
        <v>0</v>
      </c>
      <c r="O14" s="33">
        <f>IF(AND(M14&gt;=180000,(M14&lt;300000)),(M14-180000)*0.1)+IF(AND(M14&gt;=300000,M14&lt;500000),(12000+(M14-300000)*0.2))+IF($M14&gt;=500000,(52000+(M14-500000)*0.3))</f>
        <v>0</v>
      </c>
      <c r="P14" s="33">
        <f>IF(AND(M14&gt;=225000,(M14&lt;300000)),(M14-225000)*0.1)+IF(AND(M14&gt;=300000,M14&lt;500000),(7500+(M14-300000)*0.2))+IF($M14&gt;=500000,(47500+(M14-500000)*0.3))</f>
        <v>0</v>
      </c>
      <c r="Q14" s="33">
        <f t="shared" si="8"/>
        <v>0</v>
      </c>
      <c r="R14" s="33">
        <f t="shared" si="14"/>
        <v>0</v>
      </c>
      <c r="S14" s="33"/>
      <c r="T14" s="33"/>
      <c r="U14" s="33">
        <f>IF(M14&gt;1000000,R14*0.1,0)</f>
        <v>0</v>
      </c>
      <c r="V14" s="33">
        <f t="shared" si="1"/>
        <v>0</v>
      </c>
      <c r="W14" s="33">
        <f t="shared" si="11"/>
        <v>0</v>
      </c>
      <c r="X14" s="33">
        <f t="shared" si="2"/>
        <v>0</v>
      </c>
      <c r="Y14" s="40">
        <f t="shared" si="3"/>
        <v>82415</v>
      </c>
      <c r="Z14" s="40">
        <f>IF(AND(Y14&gt;=150000,(Y14&lt;300000)),(Y14-150000)*0.1)+IF(AND(Y14&gt;=300000,Y14&lt;500000),(15000+(Y14-300000)*0.2))+IF($Y14&gt;=500000,(55000+(Y14-500000)*0.3))</f>
        <v>0</v>
      </c>
      <c r="AA14" s="40">
        <f>IF(AND(Y14&gt;=180000,(Y14&lt;300000)),(Y14-180000)*0.1)+IF(AND(Y14&gt;=300000,Y14&lt;500000),(12000+(Y14-300000)*0.2))+IF($Y14&gt;=500000,(52000+(Y14-500000)*0.3))</f>
        <v>0</v>
      </c>
      <c r="AB14" s="40">
        <f>IF(AND(Y14&gt;=225000,(Y14&lt;300000)),(Y14-225000)*0.1)+IF(AND(Y14&gt;=300000,Y14&lt;500000),(7500+(Y14-300000)*0.2))+IF($Y14&gt;=500000,(47500+(Y14-500000)*0.3))</f>
        <v>0</v>
      </c>
      <c r="AC14" s="40">
        <f t="shared" si="9"/>
        <v>0</v>
      </c>
      <c r="AD14" s="40">
        <f t="shared" si="15"/>
        <v>0</v>
      </c>
      <c r="AE14" s="40"/>
      <c r="AF14" s="40"/>
      <c r="AG14" s="40">
        <f>IF(Y14&gt;1000000,AD14*0.1,0)</f>
        <v>0</v>
      </c>
      <c r="AH14" s="40">
        <f t="shared" si="12"/>
        <v>0</v>
      </c>
      <c r="AI14" s="41">
        <f t="shared" si="13"/>
        <v>0</v>
      </c>
      <c r="AJ14" s="40">
        <f t="shared" si="10"/>
        <v>0</v>
      </c>
    </row>
    <row r="15" spans="1:36" ht="15.75">
      <c r="A15" s="35" t="str">
        <f>data!B26</f>
        <v>2007-08</v>
      </c>
      <c r="B15" s="36">
        <f>data!C26</f>
        <v>75000</v>
      </c>
      <c r="C15" s="36">
        <f>data!D26</f>
        <v>2000</v>
      </c>
      <c r="D15" s="36">
        <f t="shared" si="4"/>
        <v>77000</v>
      </c>
      <c r="E15" s="36">
        <f t="shared" si="5"/>
        <v>0</v>
      </c>
      <c r="F15" s="36">
        <f t="shared" si="6"/>
        <v>0</v>
      </c>
      <c r="G15" s="36">
        <f t="shared" si="7"/>
        <v>0</v>
      </c>
      <c r="I15" s="28" t="s">
        <v>13</v>
      </c>
      <c r="J15" s="29">
        <v>39173</v>
      </c>
      <c r="K15" s="30">
        <f>DATEDIF(data!$E$12,J15,"y")</f>
        <v>32</v>
      </c>
      <c r="L15" s="31">
        <f>data!$N$3</f>
        <v>1</v>
      </c>
      <c r="M15" s="32">
        <f t="shared" si="0"/>
        <v>75000</v>
      </c>
      <c r="N15" s="37">
        <f>IF(AND(M15&gt;=110000,(M15&lt;150000)),(M15-110000)*0.1)+IF(AND(M15&gt;=150000,M15&lt;250000),(4000+(M15-150000)*0.2))+IF($M15&gt;=250000,(24000+(M15-250000)*0.3))</f>
        <v>0</v>
      </c>
      <c r="O15" s="32">
        <f>IF(AND(M15&gt;=145000,(M15&lt;150000)),(M15-145000)*0.1)+IF(AND(M15&gt;=150000,M15&lt;250000),(500+(M15-150000)*0.2))+IF($M15&gt;=250000,(20500+(M15-250000)*0.3))</f>
        <v>0</v>
      </c>
      <c r="P15" s="32">
        <f>IF(AND(M15&gt;=195000,(M15&lt;250000)),(M15-195000)*0.2)+IF($M15&gt;=250000,(11000+(M15-250000)*0.3))</f>
        <v>0</v>
      </c>
      <c r="Q15" s="32">
        <f aca="true" t="shared" si="16" ref="Q15:Q20">IF(L15=1,N15,O15)</f>
        <v>0</v>
      </c>
      <c r="R15" s="32">
        <f t="shared" si="14"/>
        <v>0</v>
      </c>
      <c r="S15" s="32"/>
      <c r="T15" s="32"/>
      <c r="U15" s="33">
        <f>IF(M15&gt;1000000,R15*0.1,0)</f>
        <v>0</v>
      </c>
      <c r="V15" s="33">
        <f t="shared" si="1"/>
        <v>0</v>
      </c>
      <c r="W15" s="33">
        <f t="shared" si="11"/>
        <v>0</v>
      </c>
      <c r="X15" s="33">
        <f t="shared" si="2"/>
        <v>0</v>
      </c>
      <c r="Y15" s="34">
        <f t="shared" si="3"/>
        <v>77000</v>
      </c>
      <c r="Z15" s="34">
        <f>IF(AND(Y15&gt;=110000,(Y15&lt;150000)),(Y15-110000)*0.1)+IF(AND(Y15&gt;=150000,Y15&lt;250000),(4000+(Y15-150000)*0.2))+IF($Y15&gt;=250000,(24000+(Y15-250000)*0.3))</f>
        <v>0</v>
      </c>
      <c r="AA15" s="34">
        <f>IF(AND(Y15&gt;=145000,(Y15&lt;150000)),(Y15-145000)*0.1)+IF(AND(Y15&gt;=150000,Y15&lt;250000),(500+(Y15-150000)*0.2))+IF($Y15&gt;=250000,(20500+(Y15-250000)*0.3))</f>
        <v>0</v>
      </c>
      <c r="AB15" s="34">
        <f>IF(AND(Y15&gt;=195000,(Y15&lt;250000)),(Y15-195000)*0.2)+IF($Y15&gt;=250000,(11000+(Y15-250000)*0.3))</f>
        <v>0</v>
      </c>
      <c r="AC15" s="40">
        <f aca="true" t="shared" si="17" ref="AC15:AC20">IF(L15=1,Z15,AA15)</f>
        <v>0</v>
      </c>
      <c r="AD15" s="40">
        <f t="shared" si="15"/>
        <v>0</v>
      </c>
      <c r="AE15" s="40"/>
      <c r="AF15" s="40"/>
      <c r="AG15" s="40">
        <f>IF(Y15&gt;1000000,AD15*0.1,0)</f>
        <v>0</v>
      </c>
      <c r="AH15" s="40">
        <f t="shared" si="12"/>
        <v>0</v>
      </c>
      <c r="AI15" s="41">
        <f t="shared" si="13"/>
        <v>0</v>
      </c>
      <c r="AJ15" s="40">
        <f aca="true" t="shared" si="18" ref="AJ15:AJ20">ROUND(AH15+AI15,0)</f>
        <v>0</v>
      </c>
    </row>
    <row r="16" spans="1:36" ht="15.75">
      <c r="A16" s="35" t="str">
        <f>data!B27</f>
        <v>2006-07</v>
      </c>
      <c r="B16" s="36">
        <f>data!C27</f>
        <v>60000</v>
      </c>
      <c r="C16" s="36">
        <f>data!D27</f>
        <v>1200</v>
      </c>
      <c r="D16" s="36">
        <f t="shared" si="4"/>
        <v>61200</v>
      </c>
      <c r="E16" s="36">
        <f t="shared" si="5"/>
        <v>0</v>
      </c>
      <c r="F16" s="36">
        <f t="shared" si="6"/>
        <v>0</v>
      </c>
      <c r="G16" s="36">
        <f t="shared" si="7"/>
        <v>0</v>
      </c>
      <c r="I16" s="28" t="s">
        <v>14</v>
      </c>
      <c r="J16" s="29">
        <v>38808</v>
      </c>
      <c r="K16" s="30">
        <f>DATEDIF(data!$E$12,J16,"y")</f>
        <v>31</v>
      </c>
      <c r="L16" s="31">
        <f>data!$N$3</f>
        <v>1</v>
      </c>
      <c r="M16" s="32">
        <f t="shared" si="0"/>
        <v>60000</v>
      </c>
      <c r="N16" s="37">
        <f>IF(AND(M16&gt;=100000,(M16&lt;150000)),(M16-100000)*0.1)+IF(AND(M16&gt;=150000,M16&lt;250000),(5000+(M16-150000)*0.2))+IF($M16&gt;=250000,(25000+(M16-250000)*0.3))</f>
        <v>0</v>
      </c>
      <c r="O16" s="32">
        <f>IF(AND(M16&gt;=135000,(M16&lt;150000)),(M16-135000)*0.1)+IF(AND(M16&gt;=150000,M16&lt;250000),(1500+(M16-150000)*0.2))+IF($M16&gt;=250000,(21500+(M16-250000)*0.3))</f>
        <v>0</v>
      </c>
      <c r="P16" s="32">
        <f>IF(AND(M16&gt;=180000,(M16&lt;250000)),(M16-180000)*0.2)+IF($M16&gt;=250000,(14000+(M16-250000)*0.3))</f>
        <v>0</v>
      </c>
      <c r="Q16" s="32">
        <f t="shared" si="16"/>
        <v>0</v>
      </c>
      <c r="R16" s="32">
        <f t="shared" si="14"/>
        <v>0</v>
      </c>
      <c r="S16" s="32"/>
      <c r="T16" s="32"/>
      <c r="U16" s="33">
        <f>IF(M16&gt;1000000,R16*0.1,0)</f>
        <v>0</v>
      </c>
      <c r="V16" s="33">
        <f t="shared" si="1"/>
        <v>0</v>
      </c>
      <c r="W16" s="33">
        <f t="shared" si="11"/>
        <v>0</v>
      </c>
      <c r="X16" s="33">
        <f t="shared" si="2"/>
        <v>0</v>
      </c>
      <c r="Y16" s="34">
        <f t="shared" si="3"/>
        <v>61200</v>
      </c>
      <c r="Z16" s="39">
        <f>IF(AND(Y16&gt;=100000,(Y16&lt;150000)),(Y16-100000)*0.1)+IF(AND(Y16&gt;=150000,Y16&lt;250000),(5000+(Y16-150000)*0.2))+IF($Y16&gt;=250000,(25000+(Y16-250000)*0.3))</f>
        <v>0</v>
      </c>
      <c r="AA16" s="34">
        <f>IF(AND(Y16&gt;=135000,(Y16&lt;150000)),(Y16-135000)*0.1)+IF(AND(Y16&gt;=150000,Y16&lt;250000),(1500+(Y16-150000)*0.2))+IF($Y16&gt;=250000,(21500+(Y16-250000)*0.3))</f>
        <v>0</v>
      </c>
      <c r="AB16" s="34">
        <f>IF(AND(Y16&gt;=180000,(Y16&lt;250000)),(Y16-180000)*0.2)+IF($Y16&gt;=250000,(14000+(Y16-250000)*0.3))</f>
        <v>0</v>
      </c>
      <c r="AC16" s="40">
        <f t="shared" si="17"/>
        <v>0</v>
      </c>
      <c r="AD16" s="40">
        <f t="shared" si="15"/>
        <v>0</v>
      </c>
      <c r="AE16" s="40"/>
      <c r="AF16" s="40"/>
      <c r="AG16" s="40">
        <f>IF(Y16&gt;1000000,AD16*0.1,0)</f>
        <v>0</v>
      </c>
      <c r="AH16" s="40">
        <f t="shared" si="12"/>
        <v>0</v>
      </c>
      <c r="AI16" s="41">
        <f t="shared" si="13"/>
        <v>0</v>
      </c>
      <c r="AJ16" s="40">
        <f t="shared" si="18"/>
        <v>0</v>
      </c>
    </row>
    <row r="17" spans="1:36" ht="15.75">
      <c r="A17" s="35" t="str">
        <f>data!B28</f>
        <v>2005-06</v>
      </c>
      <c r="B17" s="36">
        <f>data!C28</f>
        <v>42000</v>
      </c>
      <c r="C17" s="36">
        <f>data!D28</f>
        <v>1100</v>
      </c>
      <c r="D17" s="36">
        <f t="shared" si="4"/>
        <v>43100</v>
      </c>
      <c r="E17" s="36">
        <f t="shared" si="5"/>
        <v>0</v>
      </c>
      <c r="F17" s="36">
        <f t="shared" si="6"/>
        <v>0</v>
      </c>
      <c r="G17" s="36">
        <f t="shared" si="7"/>
        <v>0</v>
      </c>
      <c r="I17" s="28" t="s">
        <v>15</v>
      </c>
      <c r="J17" s="29">
        <v>38443</v>
      </c>
      <c r="K17" s="30">
        <f>DATEDIF(data!$E$12,J17,"y")</f>
        <v>30</v>
      </c>
      <c r="L17" s="31">
        <f>data!$N$3</f>
        <v>1</v>
      </c>
      <c r="M17" s="32">
        <f t="shared" si="0"/>
        <v>42000</v>
      </c>
      <c r="N17" s="37">
        <f>IF(AND(M17&gt;=100000,(M17&lt;150000)),(M17-100000)*0.1)+IF(AND(M17&gt;=150000,M17&lt;250000),(5000+(M17-150000)*0.2))+IF($M17&gt;=250000,(25000+(M17-250000)*0.3))</f>
        <v>0</v>
      </c>
      <c r="O17" s="32">
        <f>IF(AND(M17&gt;=135000,(M17&lt;150000)),(M17-135000)*0.1)+IF(AND(M17&gt;=150000,M17&lt;250000),(1500+(M17-150000)*0.2))+IF($M17&gt;=250000,(21500+(M17-250000)*0.3))</f>
        <v>0</v>
      </c>
      <c r="P17" s="32">
        <f>IF(AND(M17&gt;=180000,(M17&lt;250000)),(M17-180000)*0.2)+IF($M17&gt;=250000,(14000+(M17-250000)*0.3))</f>
        <v>0</v>
      </c>
      <c r="Q17" s="32">
        <f t="shared" si="16"/>
        <v>0</v>
      </c>
      <c r="R17" s="32">
        <f t="shared" si="14"/>
        <v>0</v>
      </c>
      <c r="S17" s="32"/>
      <c r="T17" s="32"/>
      <c r="U17" s="33">
        <f>IF(M17&gt;1000000,R17*0.1,0)</f>
        <v>0</v>
      </c>
      <c r="V17" s="33">
        <f t="shared" si="1"/>
        <v>0</v>
      </c>
      <c r="W17" s="33">
        <f>V17*0.02</f>
        <v>0</v>
      </c>
      <c r="X17" s="33">
        <f t="shared" si="2"/>
        <v>0</v>
      </c>
      <c r="Y17" s="34">
        <f t="shared" si="3"/>
        <v>43100</v>
      </c>
      <c r="Z17" s="39">
        <f>IF(AND(Y17&gt;=100000,(Y17&lt;150000)),(Y17-100000)*0.1)+IF(AND(Y17&gt;=150000,Y17&lt;250000),(5000+(Y17-150000)*0.2))+IF($Y17&gt;=250000,(25000+(Y17-250000)*0.3))</f>
        <v>0</v>
      </c>
      <c r="AA17" s="34">
        <f>IF(AND(Y17&gt;=135000,(Y17&lt;150000)),(Y17-135000)*0.1)+IF(AND(Y17&gt;=150000,Y17&lt;250000),(1500+(Y17-150000)*0.2))+IF($Y17&gt;=250000,(21500+(Y17-250000)*0.3))</f>
        <v>0</v>
      </c>
      <c r="AB17" s="34">
        <f>IF(AND(Y17&gt;=180000,(Y17&lt;250000)),(Y17-180000)*0.2)+IF($Y17&gt;=250000,(14000+(Y17-250000)*0.3))</f>
        <v>0</v>
      </c>
      <c r="AC17" s="40">
        <f t="shared" si="17"/>
        <v>0</v>
      </c>
      <c r="AD17" s="40">
        <f t="shared" si="15"/>
        <v>0</v>
      </c>
      <c r="AE17" s="40"/>
      <c r="AF17" s="40"/>
      <c r="AG17" s="40">
        <f>IF(Y17&gt;1000000,AD17*0.1,0)</f>
        <v>0</v>
      </c>
      <c r="AH17" s="40">
        <f t="shared" si="12"/>
        <v>0</v>
      </c>
      <c r="AI17" s="41">
        <f>AH17*0.02</f>
        <v>0</v>
      </c>
      <c r="AJ17" s="40">
        <f t="shared" si="18"/>
        <v>0</v>
      </c>
    </row>
    <row r="18" spans="1:36" ht="15.75">
      <c r="A18" s="35" t="str">
        <f>data!B29</f>
        <v>2004-05</v>
      </c>
      <c r="B18" s="36">
        <f>data!C29</f>
        <v>35000</v>
      </c>
      <c r="C18" s="36">
        <f>data!D29</f>
        <v>1000</v>
      </c>
      <c r="D18" s="36">
        <f t="shared" si="4"/>
        <v>36000</v>
      </c>
      <c r="E18" s="36">
        <f t="shared" si="5"/>
        <v>0</v>
      </c>
      <c r="F18" s="36">
        <f t="shared" si="6"/>
        <v>0</v>
      </c>
      <c r="G18" s="36">
        <f t="shared" si="7"/>
        <v>0</v>
      </c>
      <c r="I18" s="28" t="s">
        <v>16</v>
      </c>
      <c r="J18" s="29">
        <v>38078</v>
      </c>
      <c r="K18" s="30">
        <f>DATEDIF(data!$E$12,J18,"y")</f>
        <v>29</v>
      </c>
      <c r="L18" s="31">
        <f>data!$N$3</f>
        <v>1</v>
      </c>
      <c r="M18" s="32">
        <f t="shared" si="0"/>
        <v>35000</v>
      </c>
      <c r="N18" s="37">
        <f>IF(AND(M18&gt;=50000,(M18&lt;60000)),(M18-50000)*0.1)+IF(AND(M18&gt;=60000,M18&lt;150000),(1000+(M18-60000)*0.2))+IF($M18&gt;=150000,(19000+(M18-150000)*0.3))</f>
        <v>0</v>
      </c>
      <c r="O18" s="32">
        <f>IF(AND(M18&gt;=50000,(M18&lt;60000)),(M18-50000)*0.1)+IF(AND(M18&gt;=60000,M18&lt;150000),(1000+(M18-60000)*0.2))+IF($M18&gt;=150000,(19000+(M18-150000)*0.3))</f>
        <v>0</v>
      </c>
      <c r="P18" s="32">
        <f>IF(AND(M18&gt;=50000,(M18&lt;60000)),(M18-50000)*0.1)+IF(AND(M18&gt;=60000,M18&lt;150000),(1000+(M18-60000)*0.2))+IF($M18&gt;=150000,(19000+(M18-150000)*0.3))</f>
        <v>0</v>
      </c>
      <c r="Q18" s="32">
        <f t="shared" si="16"/>
        <v>0</v>
      </c>
      <c r="R18" s="32">
        <f t="shared" si="14"/>
        <v>0</v>
      </c>
      <c r="S18" s="32"/>
      <c r="T18" s="32"/>
      <c r="U18" s="33">
        <f>IF(M18&gt;850000,R18*0.1,0)</f>
        <v>0</v>
      </c>
      <c r="V18" s="33">
        <f t="shared" si="1"/>
        <v>0</v>
      </c>
      <c r="W18" s="33">
        <f>V18*0.02</f>
        <v>0</v>
      </c>
      <c r="X18" s="33">
        <f t="shared" si="2"/>
        <v>0</v>
      </c>
      <c r="Y18" s="34">
        <f t="shared" si="3"/>
        <v>36000</v>
      </c>
      <c r="Z18" s="39">
        <f>IF(AND(Y18&gt;=50000,(Y18&lt;60000)),(Y18-50000)*0.1)+IF(AND(Y18&gt;=60000,Y18&lt;150000),(1000+(Y18-60000)*0.2))+IF($Y18&gt;=150000,(19000+(Y18-150000)*0.3))</f>
        <v>0</v>
      </c>
      <c r="AA18" s="34">
        <f>IF(AND(Y18&gt;=50000,(Y18&lt;60000)),(Y18-50000)*0.1)+IF(AND(Y18&gt;=60000,Y18&lt;150000),(1000+(Y18-60000)*0.2))+IF($Y18&gt;=150000,(19000+(Y18-150000)*0.3))</f>
        <v>0</v>
      </c>
      <c r="AB18" s="34">
        <f>IF(AND(Y18&gt;=50000,(Y18&lt;60000)),(Y18-50000)*0.1)+IF(AND(Y18&gt;=60000,Y18&lt;150000),(1000+(Y18-60000)*0.2))+IF($Y18&gt;=150000,(19000+(Y18-150000)*0.3))</f>
        <v>0</v>
      </c>
      <c r="AC18" s="40">
        <f t="shared" si="17"/>
        <v>0</v>
      </c>
      <c r="AD18" s="40">
        <f t="shared" si="15"/>
        <v>0</v>
      </c>
      <c r="AE18" s="40"/>
      <c r="AF18" s="40"/>
      <c r="AG18" s="40">
        <f>IF(Y18&gt;850000,AD18*0.1,0)</f>
        <v>0</v>
      </c>
      <c r="AH18" s="40">
        <f t="shared" si="12"/>
        <v>0</v>
      </c>
      <c r="AI18" s="41">
        <f>AH18*0.02</f>
        <v>0</v>
      </c>
      <c r="AJ18" s="40">
        <f t="shared" si="18"/>
        <v>0</v>
      </c>
    </row>
    <row r="19" spans="1:36" ht="15.75">
      <c r="A19" s="35" t="str">
        <f>data!B30</f>
        <v>2003-04</v>
      </c>
      <c r="B19" s="36">
        <f>data!C30</f>
        <v>32000</v>
      </c>
      <c r="C19" s="36">
        <f>data!D30</f>
        <v>2800</v>
      </c>
      <c r="D19" s="36">
        <f t="shared" si="4"/>
        <v>34800</v>
      </c>
      <c r="E19" s="36">
        <f t="shared" si="5"/>
        <v>0</v>
      </c>
      <c r="F19" s="36">
        <f t="shared" si="6"/>
        <v>0</v>
      </c>
      <c r="G19" s="36">
        <f t="shared" si="7"/>
        <v>0</v>
      </c>
      <c r="I19" s="28" t="s">
        <v>17</v>
      </c>
      <c r="J19" s="29">
        <v>37712</v>
      </c>
      <c r="K19" s="30">
        <f>DATEDIF(data!$E$12,J19,"y")</f>
        <v>28</v>
      </c>
      <c r="L19" s="31">
        <f>data!$N$3</f>
        <v>1</v>
      </c>
      <c r="M19" s="32">
        <f t="shared" si="0"/>
        <v>32000</v>
      </c>
      <c r="N19" s="37">
        <f>IF(AND(M19&gt;=50000,(M19&lt;60000)),(M19-50000)*0.1)+IF(AND(M19&gt;=60000,M19&lt;150000),(1000+(M19-60000)*0.2))+IF($M19&gt;=150000,(19000+(M19-150000)*0.3))</f>
        <v>0</v>
      </c>
      <c r="O19" s="32">
        <f>IF(AND(M19&gt;=50000,(M19&lt;60000)),(M19-50000)*0.1)+IF(AND(M19&gt;=60000,M19&lt;150000),(1000+(M19-60000)*0.2))+IF($M19&gt;=150000,(19000+(M19-150000)*0.3))</f>
        <v>0</v>
      </c>
      <c r="P19" s="32">
        <f>IF(AND(M19&gt;=50000,(M19&lt;60000)),(M19-50000)*0.1)+IF(AND(M19&gt;=60000,M19&lt;150000),(1000+(M19-60000)*0.2))+IF($M19&gt;=150000,(19000+(M19-150000)*0.3))</f>
        <v>0</v>
      </c>
      <c r="Q19" s="32">
        <f t="shared" si="16"/>
        <v>0</v>
      </c>
      <c r="R19" s="32">
        <f t="shared" si="14"/>
        <v>0</v>
      </c>
      <c r="S19" s="32"/>
      <c r="T19" s="32"/>
      <c r="U19" s="33">
        <f>IF(M19&gt;850000,R19*0.1,0)</f>
        <v>0</v>
      </c>
      <c r="V19" s="33">
        <f t="shared" si="1"/>
        <v>0</v>
      </c>
      <c r="W19" s="33">
        <v>0</v>
      </c>
      <c r="X19" s="33">
        <f t="shared" si="2"/>
        <v>0</v>
      </c>
      <c r="Y19" s="34">
        <f t="shared" si="3"/>
        <v>34800</v>
      </c>
      <c r="Z19" s="39">
        <f>IF(AND(Y19&gt;=50000,(Y19&lt;60000)),(Y19-50000)*0.1)+IF(AND(Y19&gt;=60000,Y19&lt;150000),(1000+(Y19-60000)*0.2))+IF($Y19&gt;=150000,(19000+(Y19-150000)*0.3))</f>
        <v>0</v>
      </c>
      <c r="AA19" s="34">
        <f>IF(AND(Y19&gt;=50000,(Y19&lt;60000)),(Y19-50000)*0.1)+IF(AND(Y19&gt;=60000,Y19&lt;150000),(1000+(Y19-60000)*0.2))+IF($Y19&gt;=150000,(19000+(Y19-150000)*0.3))</f>
        <v>0</v>
      </c>
      <c r="AB19" s="34">
        <f>IF(AND(Y19&gt;=50000,(Y19&lt;60000)),(Y19-50000)*0.1)+IF(AND(Y19&gt;=60000,Y19&lt;150000),(1000+(Y19-60000)*0.2))+IF($Y19&gt;=150000,(19000+(Y19-150000)*0.3))</f>
        <v>0</v>
      </c>
      <c r="AC19" s="40">
        <f t="shared" si="17"/>
        <v>0</v>
      </c>
      <c r="AD19" s="40">
        <f t="shared" si="15"/>
        <v>0</v>
      </c>
      <c r="AE19" s="40"/>
      <c r="AF19" s="40"/>
      <c r="AG19" s="40">
        <f>IF(Y19&gt;850000,AD19*0.1,0)</f>
        <v>0</v>
      </c>
      <c r="AH19" s="40">
        <f t="shared" si="12"/>
        <v>0</v>
      </c>
      <c r="AI19" s="40">
        <v>0</v>
      </c>
      <c r="AJ19" s="40">
        <f t="shared" si="18"/>
        <v>0</v>
      </c>
    </row>
    <row r="20" spans="1:36" ht="15.75">
      <c r="A20" s="35" t="str">
        <f>data!B31</f>
        <v>2002-03</v>
      </c>
      <c r="B20" s="36">
        <f>data!C31</f>
        <v>30000</v>
      </c>
      <c r="C20" s="36">
        <f>data!D31</f>
        <v>2000</v>
      </c>
      <c r="D20" s="36">
        <f t="shared" si="4"/>
        <v>32000</v>
      </c>
      <c r="E20" s="36">
        <f t="shared" si="5"/>
        <v>0</v>
      </c>
      <c r="F20" s="36">
        <f t="shared" si="6"/>
        <v>0</v>
      </c>
      <c r="G20" s="36">
        <f t="shared" si="7"/>
        <v>0</v>
      </c>
      <c r="I20" s="28" t="s">
        <v>18</v>
      </c>
      <c r="J20" s="29">
        <v>37347</v>
      </c>
      <c r="K20" s="30">
        <f>DATEDIF(data!$E$12,J20,"y")</f>
        <v>27</v>
      </c>
      <c r="L20" s="31">
        <f>data!$N$3</f>
        <v>1</v>
      </c>
      <c r="M20" s="32">
        <f t="shared" si="0"/>
        <v>30000</v>
      </c>
      <c r="N20" s="37">
        <f>IF(AND(M20&gt;=50000,(M20&lt;60000)),(M20-50000)*0.1)+IF(AND(M20&gt;=60000,M20&lt;150000),(1000+(M20-60000)*0.2))+IF($M20&gt;=150000,(19000+(M20-150000)*0.3))</f>
        <v>0</v>
      </c>
      <c r="O20" s="32">
        <f>IF(AND(M20&gt;=50000,(M20&lt;60000)),(M20-50000)*0.1)+IF(AND(M20&gt;=60000,M20&lt;150000),(1000+(M20-60000)*0.2))+IF($M20&gt;=150000,(19000+(M20-150000)*0.3))</f>
        <v>0</v>
      </c>
      <c r="P20" s="32">
        <f>IF(AND(M20&gt;=50000,(M20&lt;60000)),(M20-50000)*0.1)+IF(AND(M20&gt;=60000,M20&lt;150000),(1000+(M20-60000)*0.2))+IF($M20&gt;=150000,(19000+(M20-150000)*0.3))</f>
        <v>0</v>
      </c>
      <c r="Q20" s="32">
        <f t="shared" si="16"/>
        <v>0</v>
      </c>
      <c r="R20" s="32">
        <f t="shared" si="14"/>
        <v>0</v>
      </c>
      <c r="S20" s="32"/>
      <c r="T20" s="32"/>
      <c r="U20" s="33">
        <f>IF(M20&gt;60000,R20*0.05,0)</f>
        <v>0</v>
      </c>
      <c r="V20" s="33">
        <f t="shared" si="1"/>
        <v>0</v>
      </c>
      <c r="W20" s="33">
        <v>0</v>
      </c>
      <c r="X20" s="33">
        <f t="shared" si="2"/>
        <v>0</v>
      </c>
      <c r="Y20" s="34">
        <f t="shared" si="3"/>
        <v>32000</v>
      </c>
      <c r="Z20" s="39">
        <f>IF(AND(Y20&gt;=50000,(Y20&lt;60000)),(Y20-50000)*0.1)+IF(AND(Y20&gt;=60000,Y20&lt;150000),(1000+(Y20-60000)*0.2))+IF($Y20&gt;=150000,(19000+(Y20-150000)*0.3))</f>
        <v>0</v>
      </c>
      <c r="AA20" s="34">
        <f>IF(AND(Y20&gt;=50000,(Y20&lt;60000)),(Y20-50000)*0.1)+IF(AND(Y20&gt;=60000,Y20&lt;150000),(1000+(Y20-60000)*0.2))+IF($Y20&gt;=150000,(19000+(Y20-150000)*0.3))</f>
        <v>0</v>
      </c>
      <c r="AB20" s="34">
        <f>IF(AND(Y20&gt;=50000,(Y20&lt;60000)),(Y20-50000)*0.1)+IF(AND(Y20&gt;=60000,Y20&lt;150000),(1000+(Y20-60000)*0.2))+IF($Y20&gt;=150000,(19000+(Y20-150000)*0.3))</f>
        <v>0</v>
      </c>
      <c r="AC20" s="40">
        <f t="shared" si="17"/>
        <v>0</v>
      </c>
      <c r="AD20" s="40">
        <f t="shared" si="15"/>
        <v>0</v>
      </c>
      <c r="AE20" s="40"/>
      <c r="AF20" s="40"/>
      <c r="AG20" s="40">
        <f>IF(Y20&gt;60000,AD20*0.05,0)</f>
        <v>0</v>
      </c>
      <c r="AH20" s="40">
        <f t="shared" si="12"/>
        <v>0</v>
      </c>
      <c r="AI20" s="40">
        <v>0</v>
      </c>
      <c r="AJ20" s="40">
        <f t="shared" si="18"/>
        <v>0</v>
      </c>
    </row>
    <row r="21" spans="1:44" ht="15.75">
      <c r="A21" s="42" t="s">
        <v>74</v>
      </c>
      <c r="B21" s="43">
        <f aca="true" t="shared" si="19" ref="B21:G21">SUM(B7:B20)</f>
        <v>1964000</v>
      </c>
      <c r="C21" s="43">
        <f t="shared" si="19"/>
        <v>85215</v>
      </c>
      <c r="D21" s="43">
        <f t="shared" si="19"/>
        <v>2049215</v>
      </c>
      <c r="E21" s="43">
        <f t="shared" si="19"/>
        <v>28840</v>
      </c>
      <c r="F21" s="43">
        <f t="shared" si="19"/>
        <v>37977</v>
      </c>
      <c r="G21" s="43">
        <f t="shared" si="19"/>
        <v>9137</v>
      </c>
      <c r="I21" s="72"/>
      <c r="J21" s="73"/>
      <c r="K21" s="74"/>
      <c r="L21" s="75"/>
      <c r="M21" s="72"/>
      <c r="N21" s="76"/>
      <c r="O21" s="72"/>
      <c r="P21" s="72"/>
      <c r="Q21" s="72"/>
      <c r="R21" s="72"/>
      <c r="S21" s="72"/>
      <c r="T21" s="72"/>
      <c r="U21" s="72"/>
      <c r="V21" s="77"/>
      <c r="W21" s="77"/>
      <c r="X21" s="77"/>
      <c r="Y21" s="72"/>
      <c r="Z21" s="76"/>
      <c r="AA21" s="72"/>
      <c r="AB21" s="72"/>
      <c r="AC21" s="78"/>
      <c r="AD21" s="78"/>
      <c r="AE21" s="78"/>
      <c r="AF21" s="78"/>
      <c r="AG21" s="78"/>
      <c r="AH21" s="78"/>
      <c r="AI21" s="78"/>
      <c r="AJ21" s="78"/>
      <c r="AK21" s="72"/>
      <c r="AL21" s="72"/>
      <c r="AM21" s="72"/>
      <c r="AN21" s="72"/>
      <c r="AO21" s="72"/>
      <c r="AP21" s="72"/>
      <c r="AQ21" s="72"/>
      <c r="AR21" s="72"/>
    </row>
    <row r="22" spans="9:44" ht="15.75">
      <c r="I22" s="72"/>
      <c r="J22" s="73"/>
      <c r="K22" s="74"/>
      <c r="L22" s="75"/>
      <c r="M22" s="72"/>
      <c r="N22" s="76"/>
      <c r="O22" s="72"/>
      <c r="P22" s="72"/>
      <c r="Q22" s="72"/>
      <c r="R22" s="72"/>
      <c r="S22" s="72"/>
      <c r="T22" s="72"/>
      <c r="U22" s="77"/>
      <c r="V22" s="77"/>
      <c r="W22" s="77"/>
      <c r="X22" s="77"/>
      <c r="Y22" s="72"/>
      <c r="Z22" s="76"/>
      <c r="AA22" s="72"/>
      <c r="AB22" s="72"/>
      <c r="AC22" s="78"/>
      <c r="AD22" s="78"/>
      <c r="AE22" s="78"/>
      <c r="AF22" s="78"/>
      <c r="AG22" s="78"/>
      <c r="AH22" s="78"/>
      <c r="AI22" s="78"/>
      <c r="AJ22" s="78"/>
      <c r="AK22" s="72"/>
      <c r="AL22" s="72"/>
      <c r="AM22" s="72"/>
      <c r="AN22" s="72"/>
      <c r="AO22" s="72"/>
      <c r="AP22" s="72"/>
      <c r="AQ22" s="72"/>
      <c r="AR22" s="72"/>
    </row>
    <row r="23" ht="15"/>
    <row r="24" ht="15">
      <c r="I24" s="44"/>
    </row>
  </sheetData>
  <sheetProtection password="F89F" sheet="1" objects="1" scenarios="1"/>
  <mergeCells count="2">
    <mergeCell ref="A3:G3"/>
    <mergeCell ref="A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K45"/>
  <sheetViews>
    <sheetView showGridLines="0" zoomScalePageLayoutView="0" workbookViewId="0" topLeftCell="B3">
      <selection activeCell="D23" sqref="D23"/>
    </sheetView>
  </sheetViews>
  <sheetFormatPr defaultColWidth="0" defaultRowHeight="15" zeroHeight="1"/>
  <cols>
    <col min="1" max="1" width="6.8515625" style="13" customWidth="1"/>
    <col min="2" max="2" width="6.140625" style="13" customWidth="1"/>
    <col min="3" max="3" width="49.140625" style="13" customWidth="1"/>
    <col min="4" max="4" width="23.57421875" style="13" customWidth="1"/>
    <col min="5" max="5" width="8.140625" style="13" customWidth="1"/>
    <col min="6" max="10" width="9.140625" style="13" hidden="1" customWidth="1"/>
    <col min="11" max="11" width="10.7109375" style="13" hidden="1" customWidth="1"/>
    <col min="12" max="13" width="9.140625" style="13" hidden="1" customWidth="1"/>
    <col min="14" max="14" width="11.57421875" style="13" hidden="1" customWidth="1"/>
    <col min="15" max="15" width="13.57421875" style="13" hidden="1" customWidth="1"/>
    <col min="16" max="17" width="12.57421875" style="13" hidden="1" customWidth="1"/>
    <col min="18" max="18" width="12.28125" style="13" hidden="1" customWidth="1"/>
    <col min="19" max="19" width="15.00390625" style="13" hidden="1" customWidth="1"/>
    <col min="20" max="20" width="13.421875" style="13" hidden="1" customWidth="1"/>
    <col min="21" max="21" width="12.7109375" style="13" hidden="1" customWidth="1"/>
    <col min="22" max="22" width="10.7109375" style="13" hidden="1" customWidth="1"/>
    <col min="23" max="23" width="12.28125" style="13" hidden="1" customWidth="1"/>
    <col min="24" max="24" width="10.7109375" style="13" hidden="1" customWidth="1"/>
    <col min="25" max="25" width="14.28125" style="13" hidden="1" customWidth="1"/>
    <col min="26" max="26" width="11.140625" style="13" hidden="1" customWidth="1"/>
    <col min="27" max="30" width="12.421875" style="13" hidden="1" customWidth="1"/>
    <col min="31" max="31" width="14.8515625" style="13" hidden="1" customWidth="1"/>
    <col min="32" max="32" width="10.421875" style="13" hidden="1" customWidth="1"/>
    <col min="33" max="33" width="10.7109375" style="13" hidden="1" customWidth="1"/>
    <col min="34" max="34" width="9.421875" style="13" hidden="1" customWidth="1"/>
    <col min="35" max="35" width="12.57421875" style="13" hidden="1" customWidth="1"/>
    <col min="36" max="36" width="9.140625" style="13" hidden="1" customWidth="1"/>
    <col min="37" max="37" width="14.140625" style="13" hidden="1" customWidth="1"/>
    <col min="38" max="50" width="9.140625" style="13" hidden="1" customWidth="1"/>
    <col min="51" max="16384" width="0" style="13" hidden="1" customWidth="1"/>
  </cols>
  <sheetData>
    <row r="1" ht="12.75">
      <c r="B1" s="45" t="s">
        <v>111</v>
      </c>
    </row>
    <row r="2" spans="2:4" ht="12.75">
      <c r="B2" s="105" t="s">
        <v>75</v>
      </c>
      <c r="C2" s="105"/>
      <c r="D2" s="105"/>
    </row>
    <row r="3" spans="2:4" ht="12.75">
      <c r="B3" s="106" t="s">
        <v>76</v>
      </c>
      <c r="C3" s="106"/>
      <c r="D3" s="106"/>
    </row>
    <row r="4" ht="4.5" customHeight="1"/>
    <row r="5" spans="2:37" ht="12.75">
      <c r="B5" s="105" t="s">
        <v>77</v>
      </c>
      <c r="C5" s="105"/>
      <c r="D5" s="105"/>
      <c r="I5" s="57"/>
      <c r="J5" s="57"/>
      <c r="K5" s="57"/>
      <c r="L5" s="57"/>
      <c r="M5" s="57"/>
      <c r="N5" s="58"/>
      <c r="O5" s="58" t="s">
        <v>98</v>
      </c>
      <c r="P5" s="58" t="s">
        <v>98</v>
      </c>
      <c r="Q5" s="58" t="s">
        <v>98</v>
      </c>
      <c r="R5" s="58" t="s">
        <v>98</v>
      </c>
      <c r="S5" s="58" t="s">
        <v>98</v>
      </c>
      <c r="T5" s="58"/>
      <c r="U5" s="58"/>
      <c r="V5" s="58"/>
      <c r="W5" s="58"/>
      <c r="X5" s="58"/>
      <c r="Y5" s="58"/>
      <c r="Z5" s="59"/>
      <c r="AA5" s="59" t="s">
        <v>98</v>
      </c>
      <c r="AB5" s="59" t="s">
        <v>98</v>
      </c>
      <c r="AC5" s="59" t="s">
        <v>98</v>
      </c>
      <c r="AD5" s="59" t="s">
        <v>98</v>
      </c>
      <c r="AE5" s="59" t="s">
        <v>98</v>
      </c>
      <c r="AF5" s="59"/>
      <c r="AG5" s="59"/>
      <c r="AH5" s="59"/>
      <c r="AI5" s="59"/>
      <c r="AJ5" s="59"/>
      <c r="AK5" s="59"/>
    </row>
    <row r="6" spans="8:37" ht="16.5" customHeight="1">
      <c r="H6" s="55" t="s">
        <v>20</v>
      </c>
      <c r="I6" s="60" t="s">
        <v>20</v>
      </c>
      <c r="J6" s="60" t="s">
        <v>21</v>
      </c>
      <c r="K6" s="60" t="s">
        <v>96</v>
      </c>
      <c r="L6" s="60" t="s">
        <v>52</v>
      </c>
      <c r="M6" s="60" t="s">
        <v>95</v>
      </c>
      <c r="N6" s="58" t="s">
        <v>97</v>
      </c>
      <c r="O6" s="58" t="s">
        <v>91</v>
      </c>
      <c r="P6" s="58" t="s">
        <v>92</v>
      </c>
      <c r="Q6" s="58" t="s">
        <v>93</v>
      </c>
      <c r="R6" s="58" t="s">
        <v>94</v>
      </c>
      <c r="S6" s="58" t="s">
        <v>99</v>
      </c>
      <c r="T6" s="58" t="s">
        <v>100</v>
      </c>
      <c r="U6" s="58" t="s">
        <v>101</v>
      </c>
      <c r="V6" s="58" t="s">
        <v>102</v>
      </c>
      <c r="W6" s="58" t="s">
        <v>105</v>
      </c>
      <c r="X6" s="58" t="s">
        <v>103</v>
      </c>
      <c r="Y6" s="58" t="s">
        <v>104</v>
      </c>
      <c r="Z6" s="59" t="s">
        <v>106</v>
      </c>
      <c r="AA6" s="59" t="s">
        <v>91</v>
      </c>
      <c r="AB6" s="59" t="s">
        <v>92</v>
      </c>
      <c r="AC6" s="59" t="s">
        <v>93</v>
      </c>
      <c r="AD6" s="59" t="s">
        <v>94</v>
      </c>
      <c r="AE6" s="59" t="s">
        <v>99</v>
      </c>
      <c r="AF6" s="59" t="s">
        <v>100</v>
      </c>
      <c r="AG6" s="59" t="s">
        <v>101</v>
      </c>
      <c r="AH6" s="59" t="s">
        <v>102</v>
      </c>
      <c r="AI6" s="59" t="s">
        <v>105</v>
      </c>
      <c r="AJ6" s="59" t="s">
        <v>103</v>
      </c>
      <c r="AK6" s="59" t="s">
        <v>104</v>
      </c>
    </row>
    <row r="7" spans="2:37" ht="15">
      <c r="B7" s="14"/>
      <c r="C7" s="14"/>
      <c r="D7" s="15"/>
      <c r="E7" s="79"/>
      <c r="H7" s="13" t="str">
        <f>data!E8</f>
        <v>2017-18</v>
      </c>
      <c r="I7" s="61"/>
      <c r="J7" s="61"/>
      <c r="K7" s="62"/>
      <c r="L7" s="27"/>
      <c r="M7" s="27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/>
      <c r="AA7" s="66"/>
      <c r="AB7" s="66"/>
      <c r="AC7" s="66"/>
      <c r="AD7" s="66"/>
      <c r="AE7" s="66"/>
      <c r="AF7" s="66"/>
      <c r="AG7" s="67"/>
      <c r="AH7" s="66"/>
      <c r="AI7" s="68"/>
      <c r="AJ7" s="68"/>
      <c r="AK7" s="66"/>
    </row>
    <row r="8" spans="2:37" ht="15">
      <c r="B8" s="16">
        <v>1</v>
      </c>
      <c r="C8" s="17" t="s">
        <v>78</v>
      </c>
      <c r="D8" s="18">
        <f>data!E15-SUM(data!D18:D31)</f>
        <v>500000</v>
      </c>
      <c r="E8" s="79"/>
      <c r="I8" s="61" t="s">
        <v>198</v>
      </c>
      <c r="J8" s="61" t="s">
        <v>191</v>
      </c>
      <c r="K8" s="62">
        <v>42095</v>
      </c>
      <c r="L8" s="27">
        <f>DATEDIF(data!$E$12,K8,"y")</f>
        <v>40</v>
      </c>
      <c r="M8" s="27">
        <f>data!$N$3</f>
        <v>1</v>
      </c>
      <c r="N8" s="63">
        <f>D13</f>
        <v>585215</v>
      </c>
      <c r="O8" s="64">
        <f>IF(AND(N8&gt;=250000,(N8&lt;500000)),(N8-250000)*0.1)+IF(AND(N8&gt;=500000,N8&lt;1000000),(25000+(N8-500000)*0.2))+IF(N8&gt;=1000000,(125000+(N8-1000000)*0.3))</f>
        <v>42043</v>
      </c>
      <c r="P8" s="64">
        <f>IF(AND(N8&gt;=250000,(N8&lt;500000)),(N8-250000)*0.1)+IF(AND(N8&gt;=500000,N8&lt;1000000),(25000+(N8-500000)*0.2))+IF(N8&gt;=1000000,(125000+(N8-1000000)*0.3))</f>
        <v>42043</v>
      </c>
      <c r="Q8" s="64">
        <f>IF(AND(N8&gt;=300000,(N8&lt;500000)),(N8-300000)*0.1)+IF(AND(N8&gt;=500000,N8&lt;1000000),(20000+(N8-500000)*0.2))+IF(N8&gt;=1000000,(120000+(N8-1000000)*0.3))</f>
        <v>37043</v>
      </c>
      <c r="R8" s="64">
        <f>IF($M$8=1,O8,P8)</f>
        <v>42043</v>
      </c>
      <c r="S8" s="64">
        <f>IF($L$8&gt;=60,Q8,R8)</f>
        <v>42043</v>
      </c>
      <c r="T8" s="64">
        <f>IF(S8&lt;T10,S8,T10)</f>
        <v>0</v>
      </c>
      <c r="U8" s="64">
        <f>S8-T8</f>
        <v>42043</v>
      </c>
      <c r="V8" s="64">
        <f>IF(N8&gt;10000000,U8*0.1,0)</f>
        <v>0</v>
      </c>
      <c r="W8" s="64">
        <f>U8+V8</f>
        <v>42043</v>
      </c>
      <c r="X8" s="64">
        <f>W8*0.03</f>
        <v>1261.29</v>
      </c>
      <c r="Y8" s="64">
        <f>ROUND(W8+X8,0)</f>
        <v>43304</v>
      </c>
      <c r="Z8" s="65">
        <f>D8</f>
        <v>500000</v>
      </c>
      <c r="AA8" s="66">
        <f>IF(AND(Z8&gt;=250000,(Z8&lt;500000)),(Z8-250000)*0.1)+IF(AND(Z8&gt;=500000,Z8&lt;1000000),(25000+(Z8-500000)*0.2))+IF(Z8&gt;=1000000,(125000+(Z8-1000000)*0.3))</f>
        <v>25000</v>
      </c>
      <c r="AB8" s="66">
        <f>IF(AND(Z8&gt;=250000,(Z8&lt;500000)),(Z8-250000)*0.1)+IF(AND(Z8&gt;=500000,Z8&lt;1000000),(25000+(Z8-500000)*0.2))+IF(Z8&gt;=1000000,(125000+(Z8-1000000)*0.3))</f>
        <v>25000</v>
      </c>
      <c r="AC8" s="66">
        <f>IF(AND(Z8&gt;=300000,(Z8&lt;500000)),(Z8-300000)*0.1)+IF(AND(Z8&gt;=500000,Z8&lt;1000000),(20000+(Z8-500000)*0.2))+IF(Z8&gt;=1000000,(120000+(Z8-1000000)*0.3))</f>
        <v>20000</v>
      </c>
      <c r="AD8" s="66">
        <f>IF($M$8=1,AA8,AB8)</f>
        <v>25000</v>
      </c>
      <c r="AE8" s="66">
        <f>IF($L$8&gt;=60,AC8,AD8)</f>
        <v>25000</v>
      </c>
      <c r="AF8" s="66">
        <f>IF(AE8&lt;AF10,AE8,AF10)</f>
        <v>5000</v>
      </c>
      <c r="AG8" s="67">
        <f>AE8-AF8</f>
        <v>20000</v>
      </c>
      <c r="AH8" s="66">
        <f>IF(Z8&gt;10000000,AG8*0.1,0)</f>
        <v>0</v>
      </c>
      <c r="AI8" s="68">
        <f>AG8+AH8</f>
        <v>20000</v>
      </c>
      <c r="AJ8" s="68">
        <f>AI8*0.03</f>
        <v>600</v>
      </c>
      <c r="AK8" s="66">
        <f>ROUND(AI8+AJ8,0)</f>
        <v>20600</v>
      </c>
    </row>
    <row r="9" spans="2:5" ht="12.75">
      <c r="B9" s="17"/>
      <c r="C9" s="17" t="s">
        <v>90</v>
      </c>
      <c r="D9" s="18"/>
      <c r="E9" s="79"/>
    </row>
    <row r="10" spans="2:32" ht="12.75">
      <c r="B10" s="17"/>
      <c r="C10" s="17"/>
      <c r="D10" s="18"/>
      <c r="E10" s="79"/>
      <c r="S10" s="71" t="s">
        <v>205</v>
      </c>
      <c r="T10" s="13">
        <f>IF(N8&lt;=500001,5000,0)</f>
        <v>0</v>
      </c>
      <c r="AE10" s="71" t="s">
        <v>205</v>
      </c>
      <c r="AF10" s="13">
        <f>IF(Z8&lt;=500001,5000,0)</f>
        <v>5000</v>
      </c>
    </row>
    <row r="11" spans="2:31" ht="12.75">
      <c r="B11" s="16">
        <v>2</v>
      </c>
      <c r="C11" s="17" t="s">
        <v>79</v>
      </c>
      <c r="D11" s="18">
        <f>SUM(data!D18:D31)</f>
        <v>85215</v>
      </c>
      <c r="E11" s="79"/>
      <c r="S11" s="71" t="s">
        <v>197</v>
      </c>
      <c r="T11" s="13">
        <f>IF(N7&lt;=500001,2000,0)</f>
        <v>2000</v>
      </c>
      <c r="AE11" s="71"/>
    </row>
    <row r="12" spans="2:5" ht="12.75">
      <c r="B12" s="16"/>
      <c r="C12" s="17"/>
      <c r="D12" s="18"/>
      <c r="E12" s="79"/>
    </row>
    <row r="13" spans="2:5" ht="12.75">
      <c r="B13" s="16">
        <v>3</v>
      </c>
      <c r="C13" s="17" t="s">
        <v>78</v>
      </c>
      <c r="D13" s="18">
        <f>D8+D11</f>
        <v>585215</v>
      </c>
      <c r="E13" s="79"/>
    </row>
    <row r="14" spans="2:5" ht="12.75">
      <c r="B14" s="16"/>
      <c r="C14" s="17" t="s">
        <v>80</v>
      </c>
      <c r="D14" s="18"/>
      <c r="E14" s="79"/>
    </row>
    <row r="15" spans="2:5" ht="12.75">
      <c r="B15" s="16"/>
      <c r="C15" s="17"/>
      <c r="D15" s="18"/>
      <c r="E15" s="79"/>
    </row>
    <row r="16" spans="2:5" ht="12.75">
      <c r="B16" s="16">
        <v>4</v>
      </c>
      <c r="C16" s="17" t="s">
        <v>81</v>
      </c>
      <c r="D16" s="80">
        <f>Y8</f>
        <v>43304</v>
      </c>
      <c r="E16" s="79"/>
    </row>
    <row r="17" spans="2:5" ht="12.75">
      <c r="B17" s="16"/>
      <c r="C17" s="17"/>
      <c r="D17" s="18"/>
      <c r="E17" s="79"/>
    </row>
    <row r="18" spans="2:5" ht="12.75">
      <c r="B18" s="16">
        <v>5</v>
      </c>
      <c r="C18" s="17" t="s">
        <v>82</v>
      </c>
      <c r="D18" s="80">
        <f>AK8</f>
        <v>20600</v>
      </c>
      <c r="E18" s="79"/>
    </row>
    <row r="19" spans="2:5" ht="12.75">
      <c r="B19" s="16"/>
      <c r="C19" s="17"/>
      <c r="D19" s="18"/>
      <c r="E19" s="79"/>
    </row>
    <row r="20" spans="2:5" ht="12.75">
      <c r="B20" s="16">
        <v>6</v>
      </c>
      <c r="C20" s="17" t="s">
        <v>83</v>
      </c>
      <c r="D20" s="18">
        <f>D16-D18</f>
        <v>22704</v>
      </c>
      <c r="E20" s="79"/>
    </row>
    <row r="21" spans="2:5" ht="12.75">
      <c r="B21" s="16"/>
      <c r="C21" s="17" t="s">
        <v>84</v>
      </c>
      <c r="D21" s="18"/>
      <c r="E21" s="79"/>
    </row>
    <row r="22" spans="2:5" ht="12.75">
      <c r="B22" s="16"/>
      <c r="C22" s="17"/>
      <c r="D22" s="18"/>
      <c r="E22" s="79"/>
    </row>
    <row r="23" spans="2:5" ht="12.75">
      <c r="B23" s="16">
        <v>7</v>
      </c>
      <c r="C23" s="17" t="s">
        <v>85</v>
      </c>
      <c r="D23" s="18">
        <f>'Table-A'!G21</f>
        <v>9137</v>
      </c>
      <c r="E23" s="79"/>
    </row>
    <row r="24" spans="2:4" ht="12.75">
      <c r="B24" s="16"/>
      <c r="C24" s="17" t="s">
        <v>86</v>
      </c>
      <c r="D24" s="18"/>
    </row>
    <row r="25" spans="2:4" ht="12.75">
      <c r="B25" s="16"/>
      <c r="C25" s="17"/>
      <c r="D25" s="18"/>
    </row>
    <row r="26" spans="2:4" ht="12.75">
      <c r="B26" s="16">
        <v>8</v>
      </c>
      <c r="C26" s="17" t="s">
        <v>87</v>
      </c>
      <c r="D26" s="18"/>
    </row>
    <row r="27" spans="2:4" ht="12.75">
      <c r="B27" s="16"/>
      <c r="C27" s="17" t="s">
        <v>88</v>
      </c>
      <c r="D27" s="18">
        <f>D20-D23</f>
        <v>13567</v>
      </c>
    </row>
    <row r="28" spans="2:4" ht="12.75">
      <c r="B28" s="16"/>
      <c r="C28" s="17" t="s">
        <v>89</v>
      </c>
      <c r="D28" s="18"/>
    </row>
    <row r="29" spans="2:4" ht="12.75">
      <c r="B29" s="19"/>
      <c r="C29" s="20"/>
      <c r="D29" s="21"/>
    </row>
    <row r="30" ht="12.75">
      <c r="B30" s="55"/>
    </row>
    <row r="31" ht="12.75" hidden="1">
      <c r="B31" s="55"/>
    </row>
    <row r="32" ht="12.75" hidden="1">
      <c r="B32" s="55"/>
    </row>
    <row r="33" ht="12.75" hidden="1">
      <c r="B33" s="55"/>
    </row>
    <row r="34" ht="12.75" hidden="1">
      <c r="B34" s="55"/>
    </row>
    <row r="35" ht="12.75" hidden="1">
      <c r="B35" s="55"/>
    </row>
    <row r="36" ht="12.75" hidden="1">
      <c r="B36" s="55"/>
    </row>
    <row r="37" ht="12.75" hidden="1">
      <c r="B37" s="55"/>
    </row>
    <row r="38" ht="12.75" hidden="1">
      <c r="B38" s="55"/>
    </row>
    <row r="39" ht="12.75" hidden="1">
      <c r="B39" s="55"/>
    </row>
    <row r="40" ht="12.75" hidden="1">
      <c r="B40" s="55"/>
    </row>
    <row r="41" ht="12.75" hidden="1">
      <c r="B41" s="55"/>
    </row>
    <row r="42" ht="12.75" hidden="1">
      <c r="B42" s="55"/>
    </row>
    <row r="43" ht="12.75" hidden="1">
      <c r="B43" s="55"/>
    </row>
    <row r="44" ht="12.75" hidden="1">
      <c r="B44" s="55"/>
    </row>
    <row r="45" ht="12.75" hidden="1">
      <c r="B45" s="55"/>
    </row>
    <row r="46" ht="12.75" hidden="1"/>
    <row r="47" ht="12.75" hidden="1"/>
    <row r="48" ht="12.75" hidden="1"/>
  </sheetData>
  <sheetProtection password="F89F" sheet="1" objects="1" scenarios="1"/>
  <mergeCells count="3">
    <mergeCell ref="B2:D2"/>
    <mergeCell ref="B3:D3"/>
    <mergeCell ref="B5:D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51"/>
  <sheetViews>
    <sheetView showGridLines="0" view="pageBreakPreview" zoomScale="98" zoomScaleSheetLayoutView="98" zoomScalePageLayoutView="0" workbookViewId="0" topLeftCell="A1">
      <selection activeCell="E10" sqref="E10"/>
    </sheetView>
  </sheetViews>
  <sheetFormatPr defaultColWidth="0" defaultRowHeight="15" zeroHeight="1"/>
  <cols>
    <col min="1" max="1" width="5.00390625" style="0" customWidth="1"/>
    <col min="2" max="2" width="4.140625" style="0" customWidth="1"/>
    <col min="3" max="3" width="5.8515625" style="0" customWidth="1"/>
    <col min="4" max="4" width="16.8515625" style="0" customWidth="1"/>
    <col min="5" max="5" width="23.00390625" style="0" customWidth="1"/>
    <col min="6" max="6" width="21.421875" style="0" customWidth="1"/>
    <col min="7" max="7" width="21.7109375" style="0" customWidth="1"/>
    <col min="8" max="10" width="0" style="0" hidden="1" customWidth="1"/>
    <col min="11" max="11" width="9.28125" style="0" hidden="1" customWidth="1"/>
    <col min="12" max="16384" width="0" style="0" hidden="1" customWidth="1"/>
  </cols>
  <sheetData>
    <row r="1" spans="1:7" ht="15">
      <c r="A1" s="45" t="s">
        <v>188</v>
      </c>
      <c r="B1" s="22"/>
      <c r="C1" s="22"/>
      <c r="D1" s="22"/>
      <c r="E1" s="70" t="s">
        <v>189</v>
      </c>
      <c r="F1" s="70" t="s">
        <v>190</v>
      </c>
      <c r="G1" s="70">
        <f>IF(data!E8="2014-15",2014,2015)</f>
        <v>2015</v>
      </c>
    </row>
    <row r="2" spans="1:7" ht="15">
      <c r="A2" s="103" t="s">
        <v>0</v>
      </c>
      <c r="B2" s="103"/>
      <c r="C2" s="103"/>
      <c r="D2" s="103"/>
      <c r="E2" s="103"/>
      <c r="F2" s="103"/>
      <c r="G2" s="103"/>
    </row>
    <row r="3" spans="1:12" ht="15">
      <c r="A3" s="104" t="s">
        <v>1</v>
      </c>
      <c r="B3" s="104"/>
      <c r="C3" s="104"/>
      <c r="D3" s="104"/>
      <c r="E3" s="104"/>
      <c r="F3" s="104"/>
      <c r="G3" s="104"/>
      <c r="J3" t="s">
        <v>113</v>
      </c>
      <c r="L3" t="str">
        <f>data!E8</f>
        <v>2017-18</v>
      </c>
    </row>
    <row r="4" spans="1:7" ht="15">
      <c r="A4" s="48" t="s">
        <v>199</v>
      </c>
      <c r="B4" s="48"/>
      <c r="C4" s="48"/>
      <c r="D4" s="48"/>
      <c r="E4" s="48"/>
      <c r="F4" s="48"/>
      <c r="G4" s="48"/>
    </row>
    <row r="5" spans="1:7" ht="30" customHeight="1">
      <c r="A5" s="107" t="s">
        <v>2</v>
      </c>
      <c r="B5" s="107"/>
      <c r="C5" s="107"/>
      <c r="D5" s="107"/>
      <c r="E5" s="107"/>
      <c r="F5" s="107"/>
      <c r="G5" s="107"/>
    </row>
    <row r="6" spans="1:9" ht="15" customHeight="1">
      <c r="A6" s="108"/>
      <c r="B6" s="108"/>
      <c r="C6" s="108"/>
      <c r="D6" s="108"/>
      <c r="E6" s="108"/>
      <c r="F6" s="108"/>
      <c r="G6" s="108"/>
      <c r="H6">
        <v>1</v>
      </c>
      <c r="I6" t="s">
        <v>154</v>
      </c>
    </row>
    <row r="7" spans="1:9" ht="15">
      <c r="A7" s="22" t="s">
        <v>3</v>
      </c>
      <c r="B7" s="22"/>
      <c r="C7" s="22"/>
      <c r="D7" s="22"/>
      <c r="E7" s="22" t="str">
        <f>data!D9</f>
        <v>FILL HERE</v>
      </c>
      <c r="F7" s="22"/>
      <c r="G7" s="22"/>
      <c r="H7">
        <v>2</v>
      </c>
      <c r="I7" t="s">
        <v>155</v>
      </c>
    </row>
    <row r="8" spans="1:9" ht="15">
      <c r="A8" s="22"/>
      <c r="B8" s="22"/>
      <c r="C8" s="22"/>
      <c r="D8" s="22"/>
      <c r="E8" s="22" t="str">
        <f>data!D10</f>
        <v>FILL HERE</v>
      </c>
      <c r="F8" s="22"/>
      <c r="G8" s="22"/>
      <c r="H8">
        <v>3</v>
      </c>
      <c r="I8" t="s">
        <v>156</v>
      </c>
    </row>
    <row r="9" spans="1:9" ht="15">
      <c r="A9" s="22" t="s">
        <v>4</v>
      </c>
      <c r="B9" s="22"/>
      <c r="C9" s="22"/>
      <c r="D9" s="22"/>
      <c r="E9" s="22" t="str">
        <f>data!E11</f>
        <v>AAAPA1111L</v>
      </c>
      <c r="F9" s="22"/>
      <c r="G9" s="22"/>
      <c r="H9">
        <v>4</v>
      </c>
      <c r="I9" t="s">
        <v>157</v>
      </c>
    </row>
    <row r="10" spans="1:9" ht="15">
      <c r="A10" s="22" t="s">
        <v>112</v>
      </c>
      <c r="B10" s="22"/>
      <c r="C10" s="22"/>
      <c r="D10" s="22"/>
      <c r="E10" s="22" t="str">
        <f>data!E14</f>
        <v>Resident</v>
      </c>
      <c r="F10" s="22"/>
      <c r="G10" s="22"/>
      <c r="H10">
        <v>5</v>
      </c>
      <c r="I10" t="s">
        <v>158</v>
      </c>
    </row>
    <row r="11" spans="1:9" ht="15">
      <c r="A11" s="22"/>
      <c r="B11" s="22"/>
      <c r="C11" s="22"/>
      <c r="D11" s="22"/>
      <c r="E11" s="22"/>
      <c r="F11" s="22"/>
      <c r="G11" s="22"/>
      <c r="H11">
        <v>6</v>
      </c>
      <c r="I11" t="s">
        <v>159</v>
      </c>
    </row>
    <row r="12" spans="1:9" ht="15">
      <c r="A12" s="49" t="s">
        <v>5</v>
      </c>
      <c r="B12" s="22"/>
      <c r="C12" s="22"/>
      <c r="D12" s="22"/>
      <c r="E12" s="22"/>
      <c r="F12" s="22"/>
      <c r="G12" s="22"/>
      <c r="H12">
        <v>7</v>
      </c>
      <c r="I12" t="s">
        <v>160</v>
      </c>
    </row>
    <row r="13" spans="1:9" ht="15">
      <c r="A13" s="49" t="str">
        <f>CONCATENATE(J3,L3)</f>
        <v>Assessment Year :2017-18</v>
      </c>
      <c r="B13" s="22"/>
      <c r="C13" s="22"/>
      <c r="D13" s="22"/>
      <c r="E13" s="22"/>
      <c r="F13" s="22"/>
      <c r="G13" s="22"/>
      <c r="H13">
        <v>8</v>
      </c>
      <c r="I13" t="s">
        <v>161</v>
      </c>
    </row>
    <row r="14" spans="1:9" ht="15" customHeight="1">
      <c r="A14" s="22"/>
      <c r="B14" s="22"/>
      <c r="C14" s="22"/>
      <c r="D14" s="22"/>
      <c r="E14" s="22"/>
      <c r="F14" s="22"/>
      <c r="G14" s="54" t="s">
        <v>116</v>
      </c>
      <c r="H14">
        <v>9</v>
      </c>
      <c r="I14" t="s">
        <v>162</v>
      </c>
    </row>
    <row r="15" spans="1:9" ht="15">
      <c r="A15" s="22">
        <v>1</v>
      </c>
      <c r="B15" s="22" t="s">
        <v>114</v>
      </c>
      <c r="C15" s="22" t="s">
        <v>127</v>
      </c>
      <c r="D15" s="22"/>
      <c r="E15" s="22"/>
      <c r="F15" s="22"/>
      <c r="G15" s="22"/>
      <c r="H15">
        <v>10</v>
      </c>
      <c r="I15" t="s">
        <v>163</v>
      </c>
    </row>
    <row r="16" spans="1:9" ht="15">
      <c r="A16" s="22"/>
      <c r="B16" s="22"/>
      <c r="C16" s="22" t="s">
        <v>115</v>
      </c>
      <c r="D16" s="22"/>
      <c r="E16" s="22"/>
      <c r="F16" s="22"/>
      <c r="G16" s="50">
        <f>data!D32</f>
        <v>85215</v>
      </c>
      <c r="H16">
        <v>11</v>
      </c>
      <c r="I16" t="s">
        <v>164</v>
      </c>
    </row>
    <row r="17" spans="1:9" ht="3" customHeight="1">
      <c r="A17" s="22"/>
      <c r="B17" s="22"/>
      <c r="C17" s="22"/>
      <c r="D17" s="22"/>
      <c r="E17" s="22"/>
      <c r="F17" s="22"/>
      <c r="G17" s="22"/>
      <c r="H17">
        <v>12</v>
      </c>
      <c r="I17" t="s">
        <v>165</v>
      </c>
    </row>
    <row r="18" spans="1:9" ht="15">
      <c r="A18" s="22"/>
      <c r="B18" s="22" t="s">
        <v>117</v>
      </c>
      <c r="C18" s="22" t="s">
        <v>128</v>
      </c>
      <c r="D18" s="22"/>
      <c r="E18" s="22"/>
      <c r="F18" s="22"/>
      <c r="G18" s="22"/>
      <c r="H18">
        <v>13</v>
      </c>
      <c r="I18" t="s">
        <v>166</v>
      </c>
    </row>
    <row r="19" spans="1:9" ht="15">
      <c r="A19" s="22"/>
      <c r="B19" s="22"/>
      <c r="C19" s="22" t="s">
        <v>120</v>
      </c>
      <c r="D19" s="22"/>
      <c r="E19" s="22"/>
      <c r="F19" s="22"/>
      <c r="G19" s="54" t="s">
        <v>141</v>
      </c>
      <c r="H19">
        <v>14</v>
      </c>
      <c r="I19" t="s">
        <v>167</v>
      </c>
    </row>
    <row r="20" spans="1:9" ht="15">
      <c r="A20" s="22"/>
      <c r="B20" s="22"/>
      <c r="C20" s="22" t="s">
        <v>118</v>
      </c>
      <c r="D20" s="22"/>
      <c r="E20" s="22"/>
      <c r="F20" s="22"/>
      <c r="G20" s="22"/>
      <c r="H20">
        <v>15</v>
      </c>
      <c r="I20" t="s">
        <v>168</v>
      </c>
    </row>
    <row r="21" spans="1:9" ht="3" customHeight="1">
      <c r="A21" s="22"/>
      <c r="B21" s="22"/>
      <c r="C21" s="22"/>
      <c r="D21" s="22"/>
      <c r="E21" s="22"/>
      <c r="F21" s="22"/>
      <c r="G21" s="22"/>
      <c r="H21">
        <v>16</v>
      </c>
      <c r="I21" t="s">
        <v>169</v>
      </c>
    </row>
    <row r="22" spans="1:9" ht="15">
      <c r="A22" s="22"/>
      <c r="B22" s="22" t="s">
        <v>119</v>
      </c>
      <c r="C22" s="22" t="s">
        <v>129</v>
      </c>
      <c r="D22" s="22"/>
      <c r="E22" s="22"/>
      <c r="F22" s="22"/>
      <c r="G22" s="22"/>
      <c r="H22">
        <v>17</v>
      </c>
      <c r="I22" t="s">
        <v>170</v>
      </c>
    </row>
    <row r="23" spans="1:9" ht="15">
      <c r="A23" s="22"/>
      <c r="B23" s="22"/>
      <c r="C23" s="22" t="s">
        <v>130</v>
      </c>
      <c r="D23" s="22"/>
      <c r="E23" s="22"/>
      <c r="F23" s="22"/>
      <c r="G23" s="54" t="s">
        <v>141</v>
      </c>
      <c r="H23">
        <v>18</v>
      </c>
      <c r="I23" t="s">
        <v>171</v>
      </c>
    </row>
    <row r="24" spans="1:9" ht="15">
      <c r="A24" s="22"/>
      <c r="B24" s="22"/>
      <c r="C24" s="22" t="s">
        <v>121</v>
      </c>
      <c r="D24" s="22"/>
      <c r="E24" s="22"/>
      <c r="F24" s="22"/>
      <c r="G24" s="22"/>
      <c r="H24">
        <v>19</v>
      </c>
      <c r="I24" t="s">
        <v>172</v>
      </c>
    </row>
    <row r="25" spans="1:9" ht="15">
      <c r="A25" s="22"/>
      <c r="B25" s="22"/>
      <c r="C25" s="22" t="s">
        <v>131</v>
      </c>
      <c r="D25" s="22"/>
      <c r="E25" s="22"/>
      <c r="F25" s="22"/>
      <c r="G25" s="22"/>
      <c r="H25">
        <v>20</v>
      </c>
      <c r="I25" t="s">
        <v>173</v>
      </c>
    </row>
    <row r="26" spans="1:9" ht="15">
      <c r="A26" s="22"/>
      <c r="B26" s="22"/>
      <c r="C26" s="22" t="s">
        <v>122</v>
      </c>
      <c r="D26" s="22"/>
      <c r="E26" s="22"/>
      <c r="F26" s="22"/>
      <c r="G26" s="22"/>
      <c r="H26">
        <v>21</v>
      </c>
      <c r="I26" t="s">
        <v>174</v>
      </c>
    </row>
    <row r="27" spans="1:9" ht="3" customHeight="1">
      <c r="A27" s="22"/>
      <c r="B27" s="22"/>
      <c r="C27" s="22"/>
      <c r="D27" s="22"/>
      <c r="E27" s="22"/>
      <c r="F27" s="22"/>
      <c r="G27" s="22"/>
      <c r="H27">
        <v>22</v>
      </c>
      <c r="I27" t="s">
        <v>175</v>
      </c>
    </row>
    <row r="28" spans="1:9" ht="15">
      <c r="A28" s="22"/>
      <c r="B28" s="22" t="s">
        <v>123</v>
      </c>
      <c r="C28" s="22" t="s">
        <v>132</v>
      </c>
      <c r="D28" s="22"/>
      <c r="E28" s="22"/>
      <c r="F28" s="22"/>
      <c r="G28" s="54" t="s">
        <v>141</v>
      </c>
      <c r="H28">
        <v>23</v>
      </c>
      <c r="I28" t="s">
        <v>176</v>
      </c>
    </row>
    <row r="29" spans="1:9" ht="15">
      <c r="A29" s="22"/>
      <c r="B29" s="22"/>
      <c r="C29" s="22" t="s">
        <v>124</v>
      </c>
      <c r="D29" s="22"/>
      <c r="E29" s="22"/>
      <c r="F29" s="22"/>
      <c r="G29" s="22"/>
      <c r="H29">
        <v>24</v>
      </c>
      <c r="I29" t="s">
        <v>177</v>
      </c>
    </row>
    <row r="30" spans="1:9" ht="7.5" customHeight="1">
      <c r="A30" s="22"/>
      <c r="B30" s="22"/>
      <c r="C30" s="22"/>
      <c r="D30" s="22"/>
      <c r="E30" s="22"/>
      <c r="F30" s="22"/>
      <c r="G30" s="22"/>
      <c r="H30">
        <v>25</v>
      </c>
      <c r="I30" t="s">
        <v>178</v>
      </c>
    </row>
    <row r="31" spans="1:9" ht="15">
      <c r="A31" s="22">
        <v>2</v>
      </c>
      <c r="B31" s="22"/>
      <c r="C31" s="22" t="s">
        <v>125</v>
      </c>
      <c r="D31" s="22"/>
      <c r="E31" s="22"/>
      <c r="F31" s="22"/>
      <c r="G31" s="22"/>
      <c r="H31">
        <v>26</v>
      </c>
      <c r="I31" t="s">
        <v>179</v>
      </c>
    </row>
    <row r="32" spans="1:9" ht="15">
      <c r="A32" s="22"/>
      <c r="B32" s="22"/>
      <c r="C32" s="22" t="s">
        <v>126</v>
      </c>
      <c r="D32" s="22"/>
      <c r="E32" s="22"/>
      <c r="F32" s="22"/>
      <c r="G32" s="22"/>
      <c r="H32">
        <v>27</v>
      </c>
      <c r="I32" t="s">
        <v>180</v>
      </c>
    </row>
    <row r="33" spans="1:9" ht="15">
      <c r="A33" s="22"/>
      <c r="B33" s="22"/>
      <c r="C33" s="22"/>
      <c r="D33" s="22"/>
      <c r="E33" s="22"/>
      <c r="F33" s="22"/>
      <c r="G33" s="22"/>
      <c r="H33">
        <v>28</v>
      </c>
      <c r="I33" t="s">
        <v>181</v>
      </c>
    </row>
    <row r="34" spans="1:9" ht="15">
      <c r="A34" s="22"/>
      <c r="B34" s="22"/>
      <c r="C34" s="22"/>
      <c r="D34" s="22"/>
      <c r="E34" s="22"/>
      <c r="F34" s="22"/>
      <c r="G34" s="22"/>
      <c r="H34">
        <v>29</v>
      </c>
      <c r="I34" t="s">
        <v>182</v>
      </c>
    </row>
    <row r="35" spans="1:9" ht="15">
      <c r="A35" s="22"/>
      <c r="B35" s="22"/>
      <c r="C35" s="22"/>
      <c r="D35" s="22"/>
      <c r="E35" s="22"/>
      <c r="F35" s="22"/>
      <c r="G35" s="22"/>
      <c r="H35">
        <v>30</v>
      </c>
      <c r="I35" t="s">
        <v>183</v>
      </c>
    </row>
    <row r="36" spans="1:9" ht="15">
      <c r="A36" s="22"/>
      <c r="B36" s="22"/>
      <c r="C36" s="22"/>
      <c r="D36" s="22"/>
      <c r="E36" s="22"/>
      <c r="F36" s="104" t="s">
        <v>133</v>
      </c>
      <c r="G36" s="104"/>
      <c r="H36">
        <v>31</v>
      </c>
      <c r="I36" t="s">
        <v>184</v>
      </c>
    </row>
    <row r="37" spans="1:7" ht="15">
      <c r="A37" s="22"/>
      <c r="B37" s="22"/>
      <c r="C37" s="22"/>
      <c r="D37" s="22"/>
      <c r="E37" s="22"/>
      <c r="F37" s="22"/>
      <c r="G37" s="22"/>
    </row>
    <row r="38" spans="1:7" ht="15">
      <c r="A38" s="103" t="s">
        <v>134</v>
      </c>
      <c r="B38" s="103"/>
      <c r="C38" s="103"/>
      <c r="D38" s="103"/>
      <c r="E38" s="103"/>
      <c r="F38" s="103"/>
      <c r="G38" s="103"/>
    </row>
    <row r="39" spans="1:7" ht="3.75" customHeight="1">
      <c r="A39" s="22"/>
      <c r="B39" s="22"/>
      <c r="C39" s="22"/>
      <c r="D39" s="22"/>
      <c r="E39" s="22"/>
      <c r="F39" s="22"/>
      <c r="G39" s="22"/>
    </row>
    <row r="40" spans="1:9" ht="15">
      <c r="A40" s="51"/>
      <c r="B40" s="52" t="s">
        <v>135</v>
      </c>
      <c r="C40" s="109" t="str">
        <f>data!D9</f>
        <v>FILL HERE</v>
      </c>
      <c r="D40" s="109"/>
      <c r="E40" s="109"/>
      <c r="F40" s="22" t="s">
        <v>136</v>
      </c>
      <c r="G40" s="22"/>
      <c r="H40">
        <v>1</v>
      </c>
      <c r="I40" t="s">
        <v>187</v>
      </c>
    </row>
    <row r="41" spans="1:9" ht="15">
      <c r="A41" s="22"/>
      <c r="B41" s="56" t="s">
        <v>137</v>
      </c>
      <c r="C41" s="22"/>
      <c r="D41" s="22"/>
      <c r="E41" s="22"/>
      <c r="F41" s="22"/>
      <c r="G41" s="22"/>
      <c r="H41">
        <v>2</v>
      </c>
      <c r="I41" t="s">
        <v>143</v>
      </c>
    </row>
    <row r="42" spans="1:9" ht="15">
      <c r="A42" s="22"/>
      <c r="B42" s="22"/>
      <c r="C42" s="22"/>
      <c r="D42" s="22"/>
      <c r="E42" s="22"/>
      <c r="F42" s="22"/>
      <c r="G42" s="22"/>
      <c r="H42">
        <v>3</v>
      </c>
      <c r="I42" t="s">
        <v>144</v>
      </c>
    </row>
    <row r="43" spans="1:13" ht="15">
      <c r="A43" s="22"/>
      <c r="B43" s="22" t="str">
        <f>CONCATENATE(K45,K44,K46,L44,M43)</f>
        <v>Verified today, the1st day of December2016</v>
      </c>
      <c r="C43" s="22"/>
      <c r="D43" s="22"/>
      <c r="E43" s="22"/>
      <c r="F43" s="22"/>
      <c r="G43" s="22"/>
      <c r="H43">
        <v>4</v>
      </c>
      <c r="I43" t="s">
        <v>145</v>
      </c>
      <c r="K43">
        <f>DAY(D46)</f>
        <v>1</v>
      </c>
      <c r="L43">
        <f>MONTH(D46)</f>
        <v>12</v>
      </c>
      <c r="M43">
        <f>YEAR(D46)</f>
        <v>2016</v>
      </c>
    </row>
    <row r="44" spans="1:12" ht="15">
      <c r="A44" s="22"/>
      <c r="B44" s="22"/>
      <c r="C44" s="22"/>
      <c r="D44" s="22"/>
      <c r="E44" s="22"/>
      <c r="F44" s="22"/>
      <c r="G44" s="22"/>
      <c r="H44">
        <v>5</v>
      </c>
      <c r="I44" t="s">
        <v>146</v>
      </c>
      <c r="K44" s="10" t="str">
        <f>VLOOKUP(K43,H6:I36,2,FALSE)</f>
        <v>1st</v>
      </c>
      <c r="L44" s="53" t="str">
        <f>VLOOKUP(L43,H40:I51,2,FALSE)</f>
        <v>December</v>
      </c>
    </row>
    <row r="45" spans="1:11" ht="15">
      <c r="A45" s="22"/>
      <c r="B45" s="22" t="s">
        <v>139</v>
      </c>
      <c r="C45" s="22"/>
      <c r="D45" s="46" t="s">
        <v>186</v>
      </c>
      <c r="E45" s="22"/>
      <c r="F45" s="22"/>
      <c r="G45" s="22"/>
      <c r="H45">
        <v>6</v>
      </c>
      <c r="I45" t="s">
        <v>147</v>
      </c>
      <c r="K45" s="22" t="s">
        <v>138</v>
      </c>
    </row>
    <row r="46" spans="1:15" ht="15">
      <c r="A46" s="22"/>
      <c r="B46" s="22" t="s">
        <v>140</v>
      </c>
      <c r="C46" s="22"/>
      <c r="D46" s="47">
        <v>42705</v>
      </c>
      <c r="E46" s="22"/>
      <c r="F46" s="22"/>
      <c r="G46" s="22"/>
      <c r="H46">
        <v>7</v>
      </c>
      <c r="I46" t="s">
        <v>148</v>
      </c>
      <c r="K46" t="s">
        <v>185</v>
      </c>
      <c r="O46" s="53" t="s">
        <v>142</v>
      </c>
    </row>
    <row r="47" spans="1:9" ht="15">
      <c r="A47" s="22"/>
      <c r="B47" s="22"/>
      <c r="C47" s="22"/>
      <c r="D47" s="22"/>
      <c r="E47" s="22"/>
      <c r="F47" s="22"/>
      <c r="G47" s="22"/>
      <c r="H47">
        <v>8</v>
      </c>
      <c r="I47" t="s">
        <v>149</v>
      </c>
    </row>
    <row r="48" spans="1:9" ht="15">
      <c r="A48" s="22"/>
      <c r="B48" s="22"/>
      <c r="C48" s="22"/>
      <c r="D48" s="22"/>
      <c r="E48" s="22"/>
      <c r="F48" s="22"/>
      <c r="G48" s="22"/>
      <c r="H48">
        <v>9</v>
      </c>
      <c r="I48" t="s">
        <v>150</v>
      </c>
    </row>
    <row r="49" spans="1:9" ht="15">
      <c r="A49" s="22"/>
      <c r="B49" s="22"/>
      <c r="C49" s="22"/>
      <c r="D49" s="22"/>
      <c r="E49" s="22"/>
      <c r="F49" s="22"/>
      <c r="G49" s="22"/>
      <c r="H49">
        <v>10</v>
      </c>
      <c r="I49" t="s">
        <v>151</v>
      </c>
    </row>
    <row r="50" spans="1:9" ht="15">
      <c r="A50" s="22"/>
      <c r="B50" s="22"/>
      <c r="C50" s="22"/>
      <c r="D50" s="22"/>
      <c r="E50" s="22"/>
      <c r="F50" s="22"/>
      <c r="G50" s="22"/>
      <c r="H50">
        <v>11</v>
      </c>
      <c r="I50" t="s">
        <v>152</v>
      </c>
    </row>
    <row r="51" spans="1:9" ht="15">
      <c r="A51" s="22"/>
      <c r="B51" s="22"/>
      <c r="C51" s="22"/>
      <c r="D51" s="22"/>
      <c r="E51" s="22"/>
      <c r="F51" s="22"/>
      <c r="G51" s="22"/>
      <c r="H51">
        <v>12</v>
      </c>
      <c r="I51" t="s">
        <v>153</v>
      </c>
    </row>
  </sheetData>
  <sheetProtection password="F89F" sheet="1" objects="1" scenarios="1"/>
  <mergeCells count="7">
    <mergeCell ref="A5:G5"/>
    <mergeCell ref="A2:G2"/>
    <mergeCell ref="A3:G3"/>
    <mergeCell ref="A6:G6"/>
    <mergeCell ref="A38:G38"/>
    <mergeCell ref="C40:E40"/>
    <mergeCell ref="F36:G36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scale="98" r:id="rId2"/>
  <colBreaks count="1" manualBreakCount="1">
    <brk id="7" max="5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1:G14"/>
  <sheetViews>
    <sheetView tabSelected="1" zoomScalePageLayoutView="0" workbookViewId="0" topLeftCell="A1">
      <selection activeCell="E18" sqref="E18"/>
    </sheetView>
  </sheetViews>
  <sheetFormatPr defaultColWidth="0" defaultRowHeight="15" zeroHeight="1"/>
  <cols>
    <col min="1" max="1" width="3.140625" style="90" customWidth="1"/>
    <col min="2" max="13" width="9.140625" style="90" customWidth="1"/>
    <col min="14" max="16384" width="0" style="9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33">
      <c r="B11" s="96" t="s">
        <v>200</v>
      </c>
    </row>
    <row r="12" ht="15"/>
    <row r="13" spans="2:7" ht="19.5">
      <c r="B13" s="97" t="s">
        <v>201</v>
      </c>
      <c r="C13" s="94"/>
      <c r="D13" s="94"/>
      <c r="F13" s="94"/>
      <c r="G13" s="95" t="s">
        <v>202</v>
      </c>
    </row>
    <row r="14" ht="15">
      <c r="G14" s="98" t="s">
        <v>208</v>
      </c>
    </row>
    <row r="15" ht="15"/>
    <row r="16" ht="15"/>
    <row r="17" ht="15"/>
    <row r="18" ht="15"/>
    <row r="19" ht="15"/>
    <row r="20" ht="15"/>
    <row r="21" ht="15"/>
  </sheetData>
  <sheetProtection password="F89F" sheet="1" objects="1" scenarios="1"/>
  <hyperlinks>
    <hyperlink ref="G13" r:id="rId1" tooltip="download Macro help file" display="Click Here &gt;&gt;"/>
    <hyperlink ref="G14" r:id="rId2" display="http://abcaus.in/macros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abcaus</cp:lastModifiedBy>
  <cp:lastPrinted>2013-07-17T07:34:16Z</cp:lastPrinted>
  <dcterms:created xsi:type="dcterms:W3CDTF">2013-07-15T14:50:40Z</dcterms:created>
  <dcterms:modified xsi:type="dcterms:W3CDTF">2017-05-14T11:54:06Z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